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82104\Desktop\논문\현영박사님 논문\2차 리비젼\"/>
    </mc:Choice>
  </mc:AlternateContent>
  <bookViews>
    <workbookView xWindow="120" yWindow="0" windowWidth="18315" windowHeight="11265" tabRatio="759" activeTab="13"/>
  </bookViews>
  <sheets>
    <sheet name="Serif Structure" sheetId="4" r:id="rId1"/>
    <sheet name="Formula" sheetId="1" r:id="rId2"/>
    <sheet name="Measurement" sheetId="2" r:id="rId3"/>
    <sheet name="Serif" sheetId="6" r:id="rId4"/>
    <sheet name="Serif-modified" sheetId="7" r:id="rId5"/>
    <sheet name="Weight" sheetId="8" r:id="rId6"/>
    <sheet name="Proportion" sheetId="9" r:id="rId7"/>
    <sheet name="Others" sheetId="10" r:id="rId8"/>
    <sheet name="measure 1" sheetId="12" r:id="rId9"/>
    <sheet name="measure 2" sheetId="13" r:id="rId10"/>
    <sheet name="measure 3" sheetId="15" r:id="rId11"/>
    <sheet name="measure 4" sheetId="16" r:id="rId12"/>
    <sheet name="Distance" sheetId="18" r:id="rId13"/>
    <sheet name="Ref" sheetId="19" r:id="rId14"/>
  </sheets>
  <calcPr calcId="162913"/>
</workbook>
</file>

<file path=xl/calcChain.xml><?xml version="1.0" encoding="utf-8"?>
<calcChain xmlns="http://schemas.openxmlformats.org/spreadsheetml/2006/main">
  <c r="V5" i="18" l="1"/>
  <c r="V6" i="18"/>
  <c r="U24" i="18"/>
  <c r="U23" i="18"/>
  <c r="U6" i="18"/>
  <c r="U5" i="18"/>
  <c r="W5" i="18"/>
  <c r="X5" i="18"/>
  <c r="W6" i="18"/>
  <c r="X6" i="18"/>
  <c r="P33" i="18"/>
  <c r="E23" i="18"/>
  <c r="F23" i="18"/>
  <c r="G23" i="18"/>
  <c r="H23" i="18"/>
  <c r="I23" i="18"/>
  <c r="J23" i="18"/>
  <c r="K23" i="18"/>
  <c r="L23" i="18"/>
  <c r="M23" i="18"/>
  <c r="N23" i="18"/>
  <c r="O23" i="18"/>
  <c r="P23" i="18"/>
  <c r="Q23" i="18"/>
  <c r="R23" i="18"/>
  <c r="F24" i="18"/>
  <c r="G24" i="18"/>
  <c r="H24" i="18"/>
  <c r="I24" i="18"/>
  <c r="J24" i="18"/>
  <c r="K24" i="18"/>
  <c r="L24" i="18"/>
  <c r="M24" i="18"/>
  <c r="N24" i="18"/>
  <c r="O24" i="18"/>
  <c r="P24" i="18"/>
  <c r="Q24" i="18"/>
  <c r="R24" i="18"/>
  <c r="G25" i="18"/>
  <c r="H25" i="18"/>
  <c r="I25" i="18"/>
  <c r="J25" i="18"/>
  <c r="K25" i="18"/>
  <c r="L25" i="18"/>
  <c r="M25" i="18"/>
  <c r="N25" i="18"/>
  <c r="O25" i="18"/>
  <c r="P25" i="18"/>
  <c r="Q25" i="18"/>
  <c r="R25" i="18"/>
  <c r="H26" i="18"/>
  <c r="I26" i="18"/>
  <c r="J26" i="18"/>
  <c r="K26" i="18"/>
  <c r="L26" i="18"/>
  <c r="M26" i="18"/>
  <c r="N26" i="18"/>
  <c r="O26" i="18"/>
  <c r="P26" i="18"/>
  <c r="Q26" i="18"/>
  <c r="R26" i="18"/>
  <c r="I27" i="18"/>
  <c r="J27" i="18"/>
  <c r="V23" i="18" s="1"/>
  <c r="K27" i="18"/>
  <c r="L27" i="18"/>
  <c r="M27" i="18"/>
  <c r="N27" i="18"/>
  <c r="O27" i="18"/>
  <c r="P27" i="18"/>
  <c r="Q27" i="18"/>
  <c r="R27" i="18"/>
  <c r="J28" i="18"/>
  <c r="K28" i="18"/>
  <c r="L28" i="18"/>
  <c r="M28" i="18"/>
  <c r="N28" i="18"/>
  <c r="O28" i="18"/>
  <c r="P28" i="18"/>
  <c r="Q28" i="18"/>
  <c r="R28" i="18"/>
  <c r="K29" i="18"/>
  <c r="L29" i="18"/>
  <c r="M29" i="18"/>
  <c r="N29" i="18"/>
  <c r="O29" i="18"/>
  <c r="P29" i="18"/>
  <c r="X23" i="18" s="1"/>
  <c r="Q29" i="18"/>
  <c r="R29" i="18"/>
  <c r="L30" i="18"/>
  <c r="M30" i="18"/>
  <c r="N30" i="18"/>
  <c r="O30" i="18"/>
  <c r="P30" i="18"/>
  <c r="Q30" i="18"/>
  <c r="R30" i="18"/>
  <c r="M31" i="18"/>
  <c r="N31" i="18"/>
  <c r="O31" i="18"/>
  <c r="P31" i="18"/>
  <c r="Q31" i="18"/>
  <c r="R31" i="18"/>
  <c r="N32" i="18"/>
  <c r="O32" i="18"/>
  <c r="P32" i="18"/>
  <c r="Q32" i="18"/>
  <c r="R32" i="18"/>
  <c r="O33" i="18"/>
  <c r="Q33" i="18"/>
  <c r="R33" i="18"/>
  <c r="P34" i="18"/>
  <c r="Q34" i="18"/>
  <c r="R34" i="18"/>
  <c r="Q35" i="18"/>
  <c r="R35" i="18"/>
  <c r="R36" i="18"/>
  <c r="E22" i="18"/>
  <c r="F22" i="18"/>
  <c r="G22" i="18"/>
  <c r="H22" i="18"/>
  <c r="I22" i="18"/>
  <c r="J22" i="18"/>
  <c r="K22" i="18"/>
  <c r="L22" i="18"/>
  <c r="W24" i="18" s="1"/>
  <c r="M22" i="18"/>
  <c r="N22" i="18"/>
  <c r="V24" i="18" s="1"/>
  <c r="O22" i="18"/>
  <c r="P22" i="18"/>
  <c r="Q22" i="18"/>
  <c r="R22" i="18"/>
  <c r="D22" i="18"/>
  <c r="W23" i="18" l="1"/>
  <c r="X24" i="18"/>
  <c r="AO59" i="2" l="1"/>
  <c r="AO58" i="2"/>
  <c r="AO60" i="2" s="1"/>
  <c r="AO57" i="2"/>
  <c r="AO56" i="2"/>
  <c r="AO39" i="2"/>
  <c r="AB42" i="16" l="1"/>
  <c r="AB40" i="16"/>
  <c r="AB39" i="16"/>
  <c r="AA40" i="16"/>
  <c r="AA39" i="16"/>
  <c r="AA38" i="16"/>
  <c r="AA42" i="16" s="1"/>
  <c r="AA37" i="16"/>
  <c r="Z32" i="16"/>
  <c r="Z31" i="16"/>
  <c r="Z30" i="16"/>
  <c r="Z29" i="16"/>
  <c r="X40" i="16"/>
  <c r="X39" i="16"/>
  <c r="X38" i="16"/>
  <c r="X37" i="16"/>
  <c r="X42" i="16" s="1"/>
  <c r="W32" i="16"/>
  <c r="W31" i="16"/>
  <c r="W30" i="16"/>
  <c r="W29" i="16"/>
  <c r="V40" i="16"/>
  <c r="V39" i="16"/>
  <c r="V38" i="16"/>
  <c r="V37" i="16"/>
  <c r="V41" i="16" s="1"/>
  <c r="Y32" i="16"/>
  <c r="Y31" i="16"/>
  <c r="Y30" i="16"/>
  <c r="Y29" i="16"/>
  <c r="Y34" i="16" s="1"/>
  <c r="AI23" i="1"/>
  <c r="U40" i="16"/>
  <c r="U39" i="16"/>
  <c r="U38" i="16"/>
  <c r="U37" i="16"/>
  <c r="S40" i="16"/>
  <c r="S39" i="16"/>
  <c r="S38" i="16"/>
  <c r="S37" i="16"/>
  <c r="S41" i="16" s="1"/>
  <c r="AA41" i="16" l="1"/>
  <c r="Y33" i="16"/>
  <c r="Y35" i="16" s="1"/>
  <c r="W34" i="16"/>
  <c r="AB41" i="16"/>
  <c r="AB43" i="16" s="1"/>
  <c r="AA43" i="16"/>
  <c r="Z34" i="16"/>
  <c r="Z33" i="16"/>
  <c r="X41" i="16"/>
  <c r="X43" i="16" s="1"/>
  <c r="W33" i="16"/>
  <c r="W35" i="16" s="1"/>
  <c r="V42" i="16"/>
  <c r="V43" i="16" s="1"/>
  <c r="S42" i="16"/>
  <c r="S43" i="16" s="1"/>
  <c r="U42" i="16"/>
  <c r="U41" i="16"/>
  <c r="AR23" i="1"/>
  <c r="AQ23" i="1"/>
  <c r="AQ22" i="1"/>
  <c r="AR35" i="1"/>
  <c r="AQ35" i="1"/>
  <c r="AR34" i="1"/>
  <c r="AQ34" i="1"/>
  <c r="AR28" i="1"/>
  <c r="AQ28" i="1"/>
  <c r="AQ31" i="1" s="1"/>
  <c r="AQ32" i="1" s="1"/>
  <c r="AR27" i="1"/>
  <c r="AQ27" i="1"/>
  <c r="AQ30" i="1" s="1"/>
  <c r="AR21" i="1"/>
  <c r="AQ21" i="1"/>
  <c r="AQ20" i="1"/>
  <c r="AR19" i="1"/>
  <c r="AQ19" i="1"/>
  <c r="AQ18" i="1"/>
  <c r="AQ17" i="1"/>
  <c r="AR16" i="1"/>
  <c r="AR15" i="1"/>
  <c r="AQ15" i="1"/>
  <c r="AR14" i="1"/>
  <c r="AQ14" i="1"/>
  <c r="AR13" i="1"/>
  <c r="AQ13" i="1"/>
  <c r="AR11" i="1"/>
  <c r="AQ11" i="1"/>
  <c r="AR10" i="1"/>
  <c r="AQ10" i="1"/>
  <c r="AR9" i="1"/>
  <c r="AQ9" i="1"/>
  <c r="AR8" i="1"/>
  <c r="AQ8" i="1"/>
  <c r="AR7" i="1"/>
  <c r="AQ7" i="1"/>
  <c r="AR6" i="1"/>
  <c r="AQ6" i="1"/>
  <c r="AR5" i="1"/>
  <c r="AQ5" i="1"/>
  <c r="AO24" i="2"/>
  <c r="AO14" i="2"/>
  <c r="AQ16" i="1" s="1"/>
  <c r="AP24" i="2"/>
  <c r="AR30" i="1" l="1"/>
  <c r="Z35" i="16"/>
  <c r="AR31" i="1"/>
  <c r="AR32" i="1" s="1"/>
  <c r="U43" i="16"/>
  <c r="AM51" i="1"/>
  <c r="AP47" i="1"/>
  <c r="AO47" i="1"/>
  <c r="AN47" i="1"/>
  <c r="AM47" i="1"/>
  <c r="AL47" i="1"/>
  <c r="AK47" i="1"/>
  <c r="AJ47" i="1"/>
  <c r="AI47" i="1"/>
  <c r="AP35" i="1"/>
  <c r="AO35" i="1"/>
  <c r="AN27" i="1"/>
  <c r="AN30" i="1" s="1"/>
  <c r="AM27" i="1"/>
  <c r="AM30" i="1" s="1"/>
  <c r="AO21" i="1"/>
  <c r="AJ21" i="1"/>
  <c r="AI21" i="1"/>
  <c r="AP19" i="1"/>
  <c r="AP18" i="1"/>
  <c r="AO18" i="1"/>
  <c r="AO16" i="1"/>
  <c r="AM16" i="1"/>
  <c r="AL16" i="1"/>
  <c r="AK16" i="1"/>
  <c r="AJ16" i="1"/>
  <c r="AP14" i="1"/>
  <c r="AN14" i="1"/>
  <c r="AM14" i="1"/>
  <c r="AI14" i="1"/>
  <c r="AI13" i="1"/>
  <c r="AP7" i="1"/>
  <c r="AO7" i="1"/>
  <c r="AP9" i="1"/>
  <c r="AO9" i="1"/>
  <c r="AL9" i="1"/>
  <c r="AK9" i="1"/>
  <c r="AN6" i="1"/>
  <c r="AM6" i="1"/>
  <c r="AI6" i="1"/>
  <c r="AJ9" i="1"/>
  <c r="AI9" i="1"/>
  <c r="AP11" i="1"/>
  <c r="AN11" i="1"/>
  <c r="AN9" i="1"/>
  <c r="AM9" i="1"/>
  <c r="AN8" i="1"/>
  <c r="AM8" i="1"/>
  <c r="AN30" i="2"/>
  <c r="AP34" i="1" s="1"/>
  <c r="AN28" i="2"/>
  <c r="AN29" i="2"/>
  <c r="AN27" i="2"/>
  <c r="AP28" i="1" s="1"/>
  <c r="AP31" i="1" s="1"/>
  <c r="AN26" i="2"/>
  <c r="AN31" i="2"/>
  <c r="AN59" i="2" s="1"/>
  <c r="AN53" i="2"/>
  <c r="AN52" i="2"/>
  <c r="AN25" i="2"/>
  <c r="AP27" i="1" s="1"/>
  <c r="AP30" i="1" s="1"/>
  <c r="AN23" i="2"/>
  <c r="AN21" i="2"/>
  <c r="AP21" i="1" s="1"/>
  <c r="AN14" i="2"/>
  <c r="AP16" i="1" s="1"/>
  <c r="AN16" i="2"/>
  <c r="AN18" i="2"/>
  <c r="AN10" i="2"/>
  <c r="AN9" i="2"/>
  <c r="AP10" i="1" s="1"/>
  <c r="AN17" i="2"/>
  <c r="AP20" i="1" s="1"/>
  <c r="AN7" i="2"/>
  <c r="AP8" i="1" s="1"/>
  <c r="AN6" i="2"/>
  <c r="AN24" i="2" s="1"/>
  <c r="AN3" i="2"/>
  <c r="AP6" i="1" s="1"/>
  <c r="AN2" i="2"/>
  <c r="AP5" i="1" s="1"/>
  <c r="AM30" i="2"/>
  <c r="AO34" i="1" s="1"/>
  <c r="AM28" i="2"/>
  <c r="AM29" i="2"/>
  <c r="AM27" i="2"/>
  <c r="AO28" i="1" s="1"/>
  <c r="AO31" i="1" s="1"/>
  <c r="AM26" i="2"/>
  <c r="AM31" i="2"/>
  <c r="AM59" i="2" s="1"/>
  <c r="AM53" i="2"/>
  <c r="AO52" i="1" s="1"/>
  <c r="AM52" i="2"/>
  <c r="AO51" i="1" s="1"/>
  <c r="AM25" i="2"/>
  <c r="AO27" i="1" s="1"/>
  <c r="AO30" i="1" s="1"/>
  <c r="AM23" i="2"/>
  <c r="AM21" i="2"/>
  <c r="AM16" i="2"/>
  <c r="AM14" i="2"/>
  <c r="AM18" i="2"/>
  <c r="AM10" i="2"/>
  <c r="AO11" i="1" s="1"/>
  <c r="AM9" i="2"/>
  <c r="AO10" i="1" s="1"/>
  <c r="AM17" i="2"/>
  <c r="AO20" i="1" s="1"/>
  <c r="AM7" i="2"/>
  <c r="AO8" i="1" s="1"/>
  <c r="AM6" i="2"/>
  <c r="AM24" i="2" s="1"/>
  <c r="AM3" i="2"/>
  <c r="AO6" i="1" s="1"/>
  <c r="AM2" i="2"/>
  <c r="AO5" i="1" s="1"/>
  <c r="AL30" i="2"/>
  <c r="AN34" i="1" s="1"/>
  <c r="AL28" i="2"/>
  <c r="AL29" i="2"/>
  <c r="AN35" i="1" s="1"/>
  <c r="AL27" i="2"/>
  <c r="AN28" i="1" s="1"/>
  <c r="AN31" i="1" s="1"/>
  <c r="AL26" i="2"/>
  <c r="AL31" i="2"/>
  <c r="AL59" i="2" s="1"/>
  <c r="AL53" i="2"/>
  <c r="AN52" i="1" s="1"/>
  <c r="AL52" i="2"/>
  <c r="AN51" i="1" s="1"/>
  <c r="AL25" i="2"/>
  <c r="AL24" i="2"/>
  <c r="AL23" i="2"/>
  <c r="AL21" i="2"/>
  <c r="AN21" i="1" s="1"/>
  <c r="AL19" i="2"/>
  <c r="AN17" i="1" s="1"/>
  <c r="AL14" i="2"/>
  <c r="AN16" i="1" s="1"/>
  <c r="AL9" i="2"/>
  <c r="AN10" i="1" s="1"/>
  <c r="AL18" i="2"/>
  <c r="AL10" i="2"/>
  <c r="AL17" i="2"/>
  <c r="AN19" i="1" s="1"/>
  <c r="AL8" i="2"/>
  <c r="AL7" i="2"/>
  <c r="AL6" i="2"/>
  <c r="AL58" i="2" s="1"/>
  <c r="AL16" i="2"/>
  <c r="AL5" i="2"/>
  <c r="AL4" i="2"/>
  <c r="AN7" i="1" s="1"/>
  <c r="AL3" i="2"/>
  <c r="AL2" i="2"/>
  <c r="AN5" i="1" s="1"/>
  <c r="AK30" i="2"/>
  <c r="AK58" i="2" s="1"/>
  <c r="AK28" i="2"/>
  <c r="AK27" i="2"/>
  <c r="AM28" i="1" s="1"/>
  <c r="AM31" i="1" s="1"/>
  <c r="AM32" i="1" s="1"/>
  <c r="AK29" i="2"/>
  <c r="AM35" i="1" s="1"/>
  <c r="AK26" i="2"/>
  <c r="AK31" i="2"/>
  <c r="AK53" i="2"/>
  <c r="AM52" i="1" s="1"/>
  <c r="AK52" i="2"/>
  <c r="AK25" i="2"/>
  <c r="AK57" i="2" s="1"/>
  <c r="AK24" i="2"/>
  <c r="AK23" i="2"/>
  <c r="AK4" i="2"/>
  <c r="AM7" i="1" s="1"/>
  <c r="AK21" i="2"/>
  <c r="AM21" i="1" s="1"/>
  <c r="AK19" i="2"/>
  <c r="AK16" i="2"/>
  <c r="AK14" i="2"/>
  <c r="AK18" i="2"/>
  <c r="AK17" i="2"/>
  <c r="AM19" i="1" s="1"/>
  <c r="AK10" i="2"/>
  <c r="AM11" i="1" s="1"/>
  <c r="AK9" i="2"/>
  <c r="AM10" i="1" s="1"/>
  <c r="AK8" i="2"/>
  <c r="AK7" i="2"/>
  <c r="AK6" i="2"/>
  <c r="AK5" i="2"/>
  <c r="AK3" i="2"/>
  <c r="AK2" i="2"/>
  <c r="AM5" i="1" s="1"/>
  <c r="AO32" i="1" l="1"/>
  <c r="AO14" i="1"/>
  <c r="AO19" i="1"/>
  <c r="AN56" i="2"/>
  <c r="AN57" i="2"/>
  <c r="AM58" i="2"/>
  <c r="AM34" i="1"/>
  <c r="AL57" i="2"/>
  <c r="AM13" i="1"/>
  <c r="AM15" i="1"/>
  <c r="AN13" i="1"/>
  <c r="AN15" i="1"/>
  <c r="AP51" i="1"/>
  <c r="AO13" i="1"/>
  <c r="AO15" i="1"/>
  <c r="AM20" i="1"/>
  <c r="AP13" i="1"/>
  <c r="AP15" i="1"/>
  <c r="AN20" i="1"/>
  <c r="AP52" i="1"/>
  <c r="AM18" i="1"/>
  <c r="AM17" i="1"/>
  <c r="AL56" i="2"/>
  <c r="AM57" i="2"/>
  <c r="AN18" i="1"/>
  <c r="AK59" i="2"/>
  <c r="AK60" i="2" s="1"/>
  <c r="AP32" i="1"/>
  <c r="AN32" i="1"/>
  <c r="AM60" i="2"/>
  <c r="AN58" i="2"/>
  <c r="AN60" i="2" s="1"/>
  <c r="AK56" i="2"/>
  <c r="AL60" i="2"/>
  <c r="AM56" i="2"/>
  <c r="AJ30" i="2"/>
  <c r="AJ28" i="2"/>
  <c r="AJ29" i="2"/>
  <c r="AL35" i="1" s="1"/>
  <c r="AJ27" i="2"/>
  <c r="AL28" i="1" s="1"/>
  <c r="AJ26" i="2"/>
  <c r="AJ31" i="2"/>
  <c r="AJ59" i="2" s="1"/>
  <c r="AJ53" i="2"/>
  <c r="AL52" i="1" s="1"/>
  <c r="AJ52" i="2"/>
  <c r="AL51" i="1" s="1"/>
  <c r="AJ25" i="2"/>
  <c r="AJ23" i="2"/>
  <c r="AJ18" i="2"/>
  <c r="AJ17" i="2"/>
  <c r="AJ16" i="2"/>
  <c r="AJ10" i="2"/>
  <c r="AL11" i="1" s="1"/>
  <c r="AJ9" i="2"/>
  <c r="AL10" i="1" s="1"/>
  <c r="AJ6" i="2"/>
  <c r="AJ3" i="2"/>
  <c r="AJ2" i="2"/>
  <c r="AL5" i="1" s="1"/>
  <c r="D59" i="2"/>
  <c r="E59" i="2"/>
  <c r="F59" i="2"/>
  <c r="G59" i="2"/>
  <c r="G60" i="2" s="1"/>
  <c r="H59" i="2"/>
  <c r="I59" i="2"/>
  <c r="J59" i="2"/>
  <c r="K59" i="2"/>
  <c r="K60" i="2" s="1"/>
  <c r="C59" i="2"/>
  <c r="AI30" i="2"/>
  <c r="AI53" i="2"/>
  <c r="AK52" i="1" s="1"/>
  <c r="AI28" i="2"/>
  <c r="AI29" i="2"/>
  <c r="AI27" i="2"/>
  <c r="AK28" i="1" s="1"/>
  <c r="AI26" i="2"/>
  <c r="AI31" i="2"/>
  <c r="AI59" i="2" s="1"/>
  <c r="AI52" i="2"/>
  <c r="AI25" i="2"/>
  <c r="AK27" i="1" s="1"/>
  <c r="AI23" i="2"/>
  <c r="AI18" i="2"/>
  <c r="AI17" i="2"/>
  <c r="AI16" i="2"/>
  <c r="AK14" i="1" s="1"/>
  <c r="AI10" i="2"/>
  <c r="AK11" i="1" s="1"/>
  <c r="AI9" i="2"/>
  <c r="AI6" i="2"/>
  <c r="AI3" i="2"/>
  <c r="AI2" i="2"/>
  <c r="AK5" i="1" s="1"/>
  <c r="AH30" i="2"/>
  <c r="AH28" i="2"/>
  <c r="AH29" i="2"/>
  <c r="AH27" i="2"/>
  <c r="AJ28" i="1" s="1"/>
  <c r="AH26" i="2"/>
  <c r="AH31" i="2"/>
  <c r="AH59" i="2" s="1"/>
  <c r="AH53" i="2"/>
  <c r="AJ52" i="1" s="1"/>
  <c r="AH52" i="2"/>
  <c r="AJ51" i="1" s="1"/>
  <c r="AH25" i="2"/>
  <c r="AH23" i="2"/>
  <c r="AH10" i="2"/>
  <c r="AJ11" i="1" s="1"/>
  <c r="AH9" i="2"/>
  <c r="AJ10" i="1" s="1"/>
  <c r="AH6" i="2"/>
  <c r="AH3" i="2"/>
  <c r="AH2" i="2"/>
  <c r="AJ5" i="1" s="1"/>
  <c r="D58" i="2"/>
  <c r="E58" i="2"/>
  <c r="F58" i="2"/>
  <c r="G58" i="2"/>
  <c r="H58" i="2"/>
  <c r="I58" i="2"/>
  <c r="J58" i="2"/>
  <c r="K58" i="2"/>
  <c r="C58" i="2"/>
  <c r="C60" i="2" s="1"/>
  <c r="AG57" i="2"/>
  <c r="AG53" i="2"/>
  <c r="AG52" i="2"/>
  <c r="AI51" i="1" s="1"/>
  <c r="AG31" i="2"/>
  <c r="AG30" i="2"/>
  <c r="AG29" i="2"/>
  <c r="AG28" i="2"/>
  <c r="AG27" i="2"/>
  <c r="AI28" i="1" s="1"/>
  <c r="AG26" i="2"/>
  <c r="AG25" i="2"/>
  <c r="AG23" i="2"/>
  <c r="AG14" i="2"/>
  <c r="AI16" i="1" s="1"/>
  <c r="AG10" i="2"/>
  <c r="AI11" i="1" s="1"/>
  <c r="AG9" i="2"/>
  <c r="AI10" i="1" s="1"/>
  <c r="AG7" i="2"/>
  <c r="AI8" i="1" s="1"/>
  <c r="AG6" i="2"/>
  <c r="AG2" i="2"/>
  <c r="AI5" i="1" s="1"/>
  <c r="D57" i="2"/>
  <c r="E57" i="2"/>
  <c r="F57" i="2"/>
  <c r="G57" i="2"/>
  <c r="H57" i="2"/>
  <c r="I57" i="2"/>
  <c r="J57" i="2"/>
  <c r="K57" i="2"/>
  <c r="C56" i="2"/>
  <c r="C57" i="2"/>
  <c r="D56" i="2"/>
  <c r="E56" i="2"/>
  <c r="F56" i="2"/>
  <c r="G56" i="2"/>
  <c r="H56" i="2"/>
  <c r="I56" i="2"/>
  <c r="J56" i="2"/>
  <c r="K56" i="2"/>
  <c r="AI52" i="1" l="1"/>
  <c r="AI7" i="1"/>
  <c r="AI15" i="1"/>
  <c r="AI19" i="1"/>
  <c r="AK19" i="1"/>
  <c r="AK21" i="1"/>
  <c r="AK18" i="1"/>
  <c r="AK20" i="1"/>
  <c r="AK15" i="1"/>
  <c r="AJ57" i="2"/>
  <c r="AL27" i="1"/>
  <c r="AL30" i="1" s="1"/>
  <c r="AK30" i="1"/>
  <c r="AI56" i="2"/>
  <c r="AK51" i="1"/>
  <c r="AL31" i="1"/>
  <c r="AL32" i="1" s="1"/>
  <c r="AL6" i="1"/>
  <c r="AL13" i="1"/>
  <c r="AJ58" i="2"/>
  <c r="AJ60" i="2" s="1"/>
  <c r="AL34" i="1"/>
  <c r="AH57" i="2"/>
  <c r="AJ27" i="1"/>
  <c r="H60" i="2"/>
  <c r="AG24" i="2"/>
  <c r="F60" i="2"/>
  <c r="AH58" i="2"/>
  <c r="AH60" i="2" s="1"/>
  <c r="AJ34" i="1"/>
  <c r="AJ7" i="2"/>
  <c r="AL8" i="1" s="1"/>
  <c r="J60" i="2"/>
  <c r="AK31" i="1"/>
  <c r="AK32" i="1" s="1"/>
  <c r="AI31" i="1"/>
  <c r="AI32" i="1" s="1"/>
  <c r="AG58" i="2"/>
  <c r="AG60" i="2" s="1"/>
  <c r="AJ31" i="1"/>
  <c r="E60" i="2"/>
  <c r="AJ24" i="2"/>
  <c r="AL7" i="1"/>
  <c r="AI35" i="1"/>
  <c r="AI7" i="2"/>
  <c r="AK8" i="1" s="1"/>
  <c r="AK6" i="1"/>
  <c r="AK13" i="1"/>
  <c r="AK34" i="1"/>
  <c r="I60" i="2"/>
  <c r="AG56" i="2"/>
  <c r="AI27" i="1"/>
  <c r="AI30" i="1" s="1"/>
  <c r="AJ35" i="1"/>
  <c r="AK35" i="1"/>
  <c r="D60" i="2"/>
  <c r="AI34" i="1"/>
  <c r="AH7" i="2"/>
  <c r="AJ8" i="1" s="1"/>
  <c r="AJ14" i="1"/>
  <c r="AJ13" i="1"/>
  <c r="AJ6" i="1"/>
  <c r="AI58" i="2"/>
  <c r="AK7" i="1"/>
  <c r="AI57" i="2"/>
  <c r="AL14" i="1"/>
  <c r="AG59" i="2"/>
  <c r="AH24" i="2"/>
  <c r="AJ7" i="1"/>
  <c r="AJ19" i="1"/>
  <c r="AJ15" i="1"/>
  <c r="AK10" i="1"/>
  <c r="AL19" i="1"/>
  <c r="AL21" i="1"/>
  <c r="AL18" i="1"/>
  <c r="AL20" i="1"/>
  <c r="AL15" i="1"/>
  <c r="AI60" i="2"/>
  <c r="AJ56" i="2"/>
  <c r="AH56" i="2"/>
  <c r="AI24" i="2"/>
  <c r="Q19" i="2"/>
  <c r="AJ30" i="1" l="1"/>
  <c r="AJ32" i="1" s="1"/>
  <c r="AH60" i="10"/>
  <c r="AG60" i="10"/>
  <c r="AF60" i="10"/>
  <c r="AE60" i="10"/>
  <c r="AD60" i="10"/>
  <c r="AC60" i="10"/>
  <c r="AB60" i="10"/>
  <c r="AA60" i="10"/>
  <c r="Z60" i="10"/>
  <c r="M60" i="10"/>
  <c r="L60" i="10"/>
  <c r="K60" i="10"/>
  <c r="Y60" i="10"/>
  <c r="X60" i="10"/>
  <c r="W60" i="10"/>
  <c r="V60" i="10"/>
  <c r="U60" i="10"/>
  <c r="T60" i="10"/>
  <c r="S60" i="10"/>
  <c r="R60" i="10"/>
  <c r="Q60" i="10"/>
  <c r="P60" i="10"/>
  <c r="O60" i="10"/>
  <c r="N60" i="10"/>
  <c r="J60" i="10"/>
  <c r="I60" i="10"/>
  <c r="H60" i="10"/>
  <c r="G60" i="10"/>
  <c r="F60" i="10"/>
  <c r="E60" i="10"/>
  <c r="J53" i="1" l="1"/>
  <c r="I53" i="1"/>
  <c r="H53" i="1"/>
  <c r="S53" i="1"/>
  <c r="R53" i="1"/>
  <c r="Q53" i="1"/>
  <c r="AE54" i="2"/>
  <c r="AG53" i="1" s="1"/>
  <c r="AF54" i="2"/>
  <c r="AH53" i="1" s="1"/>
  <c r="AE10" i="2" l="1"/>
  <c r="AE9" i="2"/>
  <c r="AG10" i="1" s="1"/>
  <c r="AF10" i="2"/>
  <c r="AF9" i="2"/>
  <c r="AH10" i="1" s="1"/>
  <c r="AH43" i="1"/>
  <c r="AG43" i="1"/>
  <c r="AH40" i="1"/>
  <c r="AH23" i="1"/>
  <c r="AG19" i="1"/>
  <c r="AH16" i="1"/>
  <c r="AG16" i="1"/>
  <c r="AG15" i="1"/>
  <c r="AH13" i="1"/>
  <c r="AH9" i="1"/>
  <c r="AG9" i="1"/>
  <c r="AF36" i="2"/>
  <c r="AF39" i="2" s="1"/>
  <c r="AF38" i="2"/>
  <c r="AF40" i="2" s="1"/>
  <c r="AF34" i="2"/>
  <c r="AF33" i="2"/>
  <c r="AH37" i="1" s="1"/>
  <c r="AF30" i="2"/>
  <c r="AF53" i="2"/>
  <c r="AF52" i="2"/>
  <c r="AH51" i="1" s="1"/>
  <c r="AF26" i="2"/>
  <c r="AF25" i="2"/>
  <c r="AF31" i="2"/>
  <c r="AF28" i="2"/>
  <c r="AF29" i="2"/>
  <c r="AH35" i="1" s="1"/>
  <c r="AF27" i="2"/>
  <c r="AF23" i="2"/>
  <c r="AF16" i="2"/>
  <c r="AF6" i="2"/>
  <c r="AH44" i="1" s="1"/>
  <c r="AF3" i="2"/>
  <c r="AF7" i="2" s="1"/>
  <c r="AH8" i="1" s="1"/>
  <c r="AF2" i="2"/>
  <c r="AH5" i="1" s="1"/>
  <c r="AE36" i="2"/>
  <c r="AG39" i="1" s="1"/>
  <c r="AE38" i="2"/>
  <c r="AG40" i="1" s="1"/>
  <c r="AE34" i="2"/>
  <c r="AE33" i="2"/>
  <c r="AG37" i="1" s="1"/>
  <c r="AE30" i="2"/>
  <c r="AE53" i="2"/>
  <c r="AG52" i="1" s="1"/>
  <c r="AE52" i="2"/>
  <c r="AG51" i="1" s="1"/>
  <c r="AE25" i="2"/>
  <c r="AG27" i="1" s="1"/>
  <c r="AE31" i="2"/>
  <c r="AE28" i="2"/>
  <c r="AE29" i="2"/>
  <c r="AE27" i="2"/>
  <c r="AG28" i="1" s="1"/>
  <c r="AE26" i="2"/>
  <c r="AE23" i="2"/>
  <c r="AE16" i="2"/>
  <c r="AE6" i="2"/>
  <c r="AG7" i="1" s="1"/>
  <c r="AE3" i="2"/>
  <c r="AE7" i="2" s="1"/>
  <c r="AG8" i="1" s="1"/>
  <c r="AE2" i="2"/>
  <c r="AF43" i="1"/>
  <c r="AE43" i="1"/>
  <c r="AD43" i="1"/>
  <c r="AC43" i="1"/>
  <c r="AB43" i="1"/>
  <c r="AA43" i="1"/>
  <c r="Z43" i="1"/>
  <c r="Y43" i="1"/>
  <c r="X43" i="1"/>
  <c r="W43" i="1"/>
  <c r="V43" i="1"/>
  <c r="U43" i="1"/>
  <c r="T43" i="1"/>
  <c r="S43" i="1"/>
  <c r="R43" i="1"/>
  <c r="Q43" i="1"/>
  <c r="AB37" i="1"/>
  <c r="AA37" i="1"/>
  <c r="Z37" i="1"/>
  <c r="Y37" i="1"/>
  <c r="X37" i="1"/>
  <c r="W37" i="1"/>
  <c r="V37" i="1"/>
  <c r="U37" i="1"/>
  <c r="T37" i="1"/>
  <c r="S37" i="1"/>
  <c r="R37" i="1"/>
  <c r="Q37" i="1"/>
  <c r="Q14" i="1"/>
  <c r="Q5" i="1"/>
  <c r="AD36" i="2"/>
  <c r="AD38" i="2"/>
  <c r="AD34" i="2"/>
  <c r="AD33" i="2"/>
  <c r="AF37" i="1" s="1"/>
  <c r="AD30" i="2"/>
  <c r="AD53" i="2"/>
  <c r="AD52" i="2"/>
  <c r="AD25" i="2"/>
  <c r="AD31" i="2"/>
  <c r="AD28" i="2"/>
  <c r="AD29" i="2"/>
  <c r="AD27" i="2"/>
  <c r="AD26" i="2"/>
  <c r="AD23" i="2"/>
  <c r="AD21" i="2"/>
  <c r="AD19" i="2"/>
  <c r="AD14" i="2"/>
  <c r="AF11" i="1" s="1"/>
  <c r="AD18" i="2"/>
  <c r="AD10" i="2"/>
  <c r="AD9" i="2"/>
  <c r="AF10" i="1" s="1"/>
  <c r="AD17" i="2"/>
  <c r="AD16" i="2"/>
  <c r="AF14" i="1" s="1"/>
  <c r="AD8" i="2"/>
  <c r="AF9" i="1" s="1"/>
  <c r="AD7" i="2"/>
  <c r="AD6" i="2"/>
  <c r="AD5" i="2"/>
  <c r="AD4" i="2"/>
  <c r="AD3" i="2"/>
  <c r="AD2" i="2"/>
  <c r="AF5" i="1" s="1"/>
  <c r="AG5" i="1" l="1"/>
  <c r="AG14" i="1"/>
  <c r="AG44" i="1"/>
  <c r="AF41" i="2"/>
  <c r="AG25" i="1"/>
  <c r="AF13" i="1"/>
  <c r="AH14" i="1"/>
  <c r="AH6" i="1"/>
  <c r="AE39" i="2"/>
  <c r="AE41" i="2" s="1"/>
  <c r="AG35" i="1"/>
  <c r="AE24" i="2"/>
  <c r="AG30" i="1" s="1"/>
  <c r="AF35" i="1"/>
  <c r="AF27" i="1"/>
  <c r="AH28" i="1"/>
  <c r="AF44" i="1"/>
  <c r="AF7" i="1"/>
  <c r="AF25" i="1"/>
  <c r="AF17" i="1"/>
  <c r="AF19" i="1"/>
  <c r="AF15" i="1"/>
  <c r="AF20" i="1"/>
  <c r="AD24" i="2"/>
  <c r="AF52" i="1"/>
  <c r="AF40" i="1"/>
  <c r="AD40" i="2"/>
  <c r="AF8" i="1"/>
  <c r="AD59" i="2"/>
  <c r="AD58" i="2"/>
  <c r="AF34" i="1"/>
  <c r="AF39" i="1"/>
  <c r="AF47" i="1" s="1"/>
  <c r="AD39" i="2"/>
  <c r="AF28" i="1"/>
  <c r="AF51" i="1"/>
  <c r="AF6" i="1"/>
  <c r="AF23" i="1"/>
  <c r="AG41" i="1"/>
  <c r="AG47" i="1"/>
  <c r="AF22" i="1"/>
  <c r="AF18" i="1"/>
  <c r="AF21" i="1"/>
  <c r="AD57" i="2"/>
  <c r="AD56" i="2"/>
  <c r="AE59" i="2"/>
  <c r="AE58" i="2"/>
  <c r="AF24" i="2"/>
  <c r="AH31" i="1" s="1"/>
  <c r="AF59" i="2"/>
  <c r="AG23" i="1"/>
  <c r="AG34" i="1"/>
  <c r="AE57" i="2"/>
  <c r="AE56" i="2"/>
  <c r="AF57" i="2"/>
  <c r="AF56" i="2"/>
  <c r="AF58" i="2"/>
  <c r="AH7" i="1"/>
  <c r="AH27" i="1"/>
  <c r="AH34" i="1"/>
  <c r="AH39" i="1"/>
  <c r="AH52" i="1"/>
  <c r="AE40" i="2"/>
  <c r="AG6" i="1"/>
  <c r="AG13" i="1"/>
  <c r="AH15" i="1"/>
  <c r="AH19" i="1"/>
  <c r="AH25" i="1"/>
  <c r="AF16" i="1"/>
  <c r="AC40" i="2"/>
  <c r="AC36" i="2"/>
  <c r="AE39" i="1" s="1"/>
  <c r="AE47" i="1" s="1"/>
  <c r="AC38" i="2"/>
  <c r="AE40" i="1" s="1"/>
  <c r="AC34" i="2"/>
  <c r="AC33" i="2"/>
  <c r="AE37" i="1" s="1"/>
  <c r="AC30" i="2"/>
  <c r="AC53" i="2"/>
  <c r="AC52" i="2"/>
  <c r="AE51" i="1" s="1"/>
  <c r="AC25" i="2"/>
  <c r="AC31" i="2"/>
  <c r="AC28" i="2"/>
  <c r="AC29" i="2"/>
  <c r="AC27" i="2"/>
  <c r="AE28" i="1" s="1"/>
  <c r="AC26" i="2"/>
  <c r="AC23" i="2"/>
  <c r="AC14" i="2"/>
  <c r="AC21" i="2"/>
  <c r="AC19" i="2"/>
  <c r="AC18" i="2"/>
  <c r="AC10" i="2"/>
  <c r="AC9" i="2"/>
  <c r="AC17" i="2"/>
  <c r="AC16" i="2"/>
  <c r="AE14" i="1" s="1"/>
  <c r="AC8" i="2"/>
  <c r="AE9" i="1" s="1"/>
  <c r="AC7" i="2"/>
  <c r="AC6" i="2"/>
  <c r="AC5" i="2"/>
  <c r="AC4" i="2"/>
  <c r="AC3" i="2"/>
  <c r="AC2" i="2"/>
  <c r="AE5" i="1" s="1"/>
  <c r="AB36" i="2"/>
  <c r="AD39" i="1" s="1"/>
  <c r="AD47" i="1" s="1"/>
  <c r="AB34" i="2"/>
  <c r="AB33" i="2"/>
  <c r="AD37" i="1" s="1"/>
  <c r="AB38" i="2"/>
  <c r="AD40" i="1" s="1"/>
  <c r="AB30" i="2"/>
  <c r="AB53" i="2"/>
  <c r="AB52" i="2"/>
  <c r="AB25" i="2"/>
  <c r="AB31" i="2"/>
  <c r="AB28" i="2"/>
  <c r="AB29" i="2"/>
  <c r="AB27" i="2"/>
  <c r="AB26" i="2"/>
  <c r="AB23" i="2"/>
  <c r="AB21" i="2"/>
  <c r="AB19" i="2"/>
  <c r="AB14" i="2"/>
  <c r="AB18" i="2"/>
  <c r="AB10" i="2"/>
  <c r="AB9" i="2"/>
  <c r="AB17" i="2"/>
  <c r="AB16" i="2"/>
  <c r="AD14" i="1" s="1"/>
  <c r="AB8" i="2"/>
  <c r="AD9" i="1" s="1"/>
  <c r="AB7" i="2"/>
  <c r="AB6" i="2"/>
  <c r="AB24" i="2" s="1"/>
  <c r="AB5" i="2"/>
  <c r="AB4" i="2"/>
  <c r="AB3" i="2"/>
  <c r="AB2" i="2"/>
  <c r="AD5" i="1" s="1"/>
  <c r="AA36" i="2"/>
  <c r="AC39" i="1" s="1"/>
  <c r="AC47" i="1" s="1"/>
  <c r="AA34" i="2"/>
  <c r="AA33" i="2"/>
  <c r="AC37" i="1" s="1"/>
  <c r="AA38" i="2"/>
  <c r="AC40" i="1" s="1"/>
  <c r="AC41" i="1" s="1"/>
  <c r="AA30" i="2"/>
  <c r="AA53" i="2"/>
  <c r="AA52" i="2"/>
  <c r="AA25" i="2"/>
  <c r="AA31" i="2"/>
  <c r="AA28" i="2"/>
  <c r="AA29" i="2"/>
  <c r="AA27" i="2"/>
  <c r="AA26" i="2"/>
  <c r="AA23" i="2"/>
  <c r="AA21" i="2"/>
  <c r="AA19" i="2"/>
  <c r="AA16" i="2"/>
  <c r="AA14" i="2"/>
  <c r="AA18" i="2"/>
  <c r="AA10" i="2"/>
  <c r="AA9" i="2"/>
  <c r="AC10" i="1" s="1"/>
  <c r="AA17" i="2"/>
  <c r="AA8" i="2"/>
  <c r="AC9" i="1" s="1"/>
  <c r="AA7" i="2"/>
  <c r="AA6" i="2"/>
  <c r="AA24" i="2" s="1"/>
  <c r="AA5" i="2"/>
  <c r="AC7" i="1" s="1"/>
  <c r="AA4" i="2"/>
  <c r="AA3" i="2"/>
  <c r="AA2" i="2"/>
  <c r="AD51" i="1" l="1"/>
  <c r="AD60" i="2"/>
  <c r="AC39" i="2"/>
  <c r="AC41" i="2" s="1"/>
  <c r="AF60" i="2"/>
  <c r="AF30" i="1"/>
  <c r="AG31" i="1"/>
  <c r="AG32" i="1" s="1"/>
  <c r="AB39" i="2"/>
  <c r="AE41" i="1"/>
  <c r="AC51" i="1"/>
  <c r="AC21" i="1"/>
  <c r="AC14" i="1"/>
  <c r="AD28" i="1"/>
  <c r="AD31" i="1" s="1"/>
  <c r="AD32" i="1" s="1"/>
  <c r="AE7" i="1"/>
  <c r="AD21" i="1"/>
  <c r="AA39" i="2"/>
  <c r="AC5" i="1"/>
  <c r="AF31" i="1"/>
  <c r="AC28" i="1"/>
  <c r="AD7" i="1"/>
  <c r="AD41" i="2"/>
  <c r="AE23" i="1"/>
  <c r="AE6" i="1"/>
  <c r="AE22" i="1"/>
  <c r="AE13" i="1"/>
  <c r="AE18" i="1"/>
  <c r="AC19" i="1"/>
  <c r="AC15" i="1"/>
  <c r="AC20" i="1"/>
  <c r="AC17" i="1"/>
  <c r="AD52" i="1"/>
  <c r="AE44" i="1"/>
  <c r="AE25" i="1"/>
  <c r="AC24" i="2"/>
  <c r="AC8" i="1"/>
  <c r="AA59" i="2"/>
  <c r="AA58" i="2"/>
  <c r="AA60" i="2" s="1"/>
  <c r="AC34" i="1"/>
  <c r="AD8" i="1"/>
  <c r="AD10" i="1"/>
  <c r="AB59" i="2"/>
  <c r="AB58" i="2"/>
  <c r="AD34" i="1"/>
  <c r="AE8" i="1"/>
  <c r="AE10" i="1"/>
  <c r="AE21" i="1"/>
  <c r="AC59" i="2"/>
  <c r="AC58" i="2"/>
  <c r="AE34" i="1"/>
  <c r="AD41" i="1"/>
  <c r="AH30" i="1"/>
  <c r="AH32" i="1" s="1"/>
  <c r="AE60" i="2"/>
  <c r="AC22" i="1"/>
  <c r="AC13" i="1"/>
  <c r="AC6" i="1"/>
  <c r="AC18" i="1"/>
  <c r="AC23" i="1"/>
  <c r="AE31" i="1"/>
  <c r="AC56" i="2"/>
  <c r="AC57" i="2"/>
  <c r="AE27" i="1"/>
  <c r="AE30" i="1" s="1"/>
  <c r="AD35" i="1"/>
  <c r="AB40" i="2"/>
  <c r="AB41" i="2" s="1"/>
  <c r="AE35" i="1"/>
  <c r="AH41" i="1"/>
  <c r="AH47" i="1"/>
  <c r="AC31" i="1"/>
  <c r="AC32" i="1" s="1"/>
  <c r="AA57" i="2"/>
  <c r="AA56" i="2"/>
  <c r="AC27" i="1"/>
  <c r="AC30" i="1" s="1"/>
  <c r="AD18" i="1"/>
  <c r="AD6" i="1"/>
  <c r="AD23" i="1"/>
  <c r="AD22" i="1"/>
  <c r="AD13" i="1"/>
  <c r="AB57" i="2"/>
  <c r="AB56" i="2"/>
  <c r="AD27" i="1"/>
  <c r="AD30" i="1" s="1"/>
  <c r="AC35" i="1"/>
  <c r="AA40" i="2"/>
  <c r="AC44" i="1"/>
  <c r="AC25" i="1"/>
  <c r="AC52" i="1"/>
  <c r="AD44" i="1"/>
  <c r="AD25" i="1"/>
  <c r="AD20" i="1"/>
  <c r="AD19" i="1"/>
  <c r="AD17" i="1"/>
  <c r="AD15" i="1"/>
  <c r="AE15" i="1"/>
  <c r="AE17" i="1"/>
  <c r="AE19" i="1"/>
  <c r="AE20" i="1"/>
  <c r="AE52" i="1"/>
  <c r="AF41" i="1"/>
  <c r="AE11" i="1"/>
  <c r="AE16" i="1"/>
  <c r="AD11" i="1"/>
  <c r="AD16" i="1"/>
  <c r="AC16" i="1"/>
  <c r="AC11" i="1"/>
  <c r="Z53" i="2"/>
  <c r="Z36" i="2"/>
  <c r="AB39" i="1" s="1"/>
  <c r="Z38" i="2"/>
  <c r="AB40" i="1" s="1"/>
  <c r="Z30" i="2"/>
  <c r="Z28" i="2"/>
  <c r="Z52" i="2"/>
  <c r="Z26" i="2"/>
  <c r="Z25" i="2"/>
  <c r="Z31" i="2"/>
  <c r="Z59" i="2" s="1"/>
  <c r="Z29" i="2"/>
  <c r="Z27" i="2"/>
  <c r="Z18" i="2"/>
  <c r="Z10" i="2"/>
  <c r="Z9" i="2"/>
  <c r="AB10" i="1" s="1"/>
  <c r="Z17" i="2"/>
  <c r="Z21" i="2"/>
  <c r="Z19" i="2"/>
  <c r="Z16" i="2"/>
  <c r="AB14" i="1" s="1"/>
  <c r="Z14" i="2"/>
  <c r="Z8" i="2"/>
  <c r="AB9" i="1" s="1"/>
  <c r="Z7" i="2"/>
  <c r="AB8" i="1" s="1"/>
  <c r="Z6" i="2"/>
  <c r="Z24" i="2" s="1"/>
  <c r="Z5" i="2"/>
  <c r="AB7" i="1" s="1"/>
  <c r="Z4" i="2"/>
  <c r="Z2" i="2"/>
  <c r="AB5" i="1" s="1"/>
  <c r="Y36" i="2"/>
  <c r="AA39" i="1" s="1"/>
  <c r="Y38" i="2"/>
  <c r="AA40" i="1" s="1"/>
  <c r="Y30" i="2"/>
  <c r="Y53" i="2"/>
  <c r="Y52" i="2"/>
  <c r="Y26" i="2"/>
  <c r="Y25" i="2"/>
  <c r="Y31" i="2"/>
  <c r="Y28" i="2"/>
  <c r="Y29" i="2"/>
  <c r="Y27" i="2"/>
  <c r="Y18" i="2"/>
  <c r="Y10" i="2"/>
  <c r="Y9" i="2"/>
  <c r="Y17" i="2"/>
  <c r="Y21" i="2"/>
  <c r="AA21" i="1" s="1"/>
  <c r="Y19" i="2"/>
  <c r="Y16" i="2"/>
  <c r="Y14" i="2"/>
  <c r="Y8" i="2"/>
  <c r="AA9" i="1" s="1"/>
  <c r="Y7" i="2"/>
  <c r="Y6" i="2"/>
  <c r="Y24" i="2" s="1"/>
  <c r="Y5" i="2"/>
  <c r="Y4" i="2"/>
  <c r="Y3" i="2"/>
  <c r="Y2" i="2"/>
  <c r="AA5" i="1" s="1"/>
  <c r="X40" i="2"/>
  <c r="X39" i="2"/>
  <c r="X36" i="2"/>
  <c r="Z39" i="1" s="1"/>
  <c r="X38" i="2"/>
  <c r="Z40" i="1" s="1"/>
  <c r="X30" i="2"/>
  <c r="X53" i="2"/>
  <c r="Z52" i="1" s="1"/>
  <c r="X52" i="2"/>
  <c r="X26" i="2"/>
  <c r="X25" i="2"/>
  <c r="X31" i="2"/>
  <c r="X59" i="2" s="1"/>
  <c r="X28" i="2"/>
  <c r="X29" i="2"/>
  <c r="X27" i="2"/>
  <c r="Z28" i="1" s="1"/>
  <c r="X18" i="2"/>
  <c r="X10" i="2"/>
  <c r="X9" i="2"/>
  <c r="Z10" i="1" s="1"/>
  <c r="X17" i="2"/>
  <c r="X21" i="2"/>
  <c r="Z21" i="1" s="1"/>
  <c r="X19" i="2"/>
  <c r="X16" i="2"/>
  <c r="X14" i="2"/>
  <c r="X8" i="2"/>
  <c r="Z9" i="1" s="1"/>
  <c r="X7" i="2"/>
  <c r="X6" i="2"/>
  <c r="X5" i="2"/>
  <c r="Z7" i="1" s="1"/>
  <c r="X4" i="2"/>
  <c r="X3" i="2"/>
  <c r="X2" i="2"/>
  <c r="Z5" i="1" s="1"/>
  <c r="W36" i="2"/>
  <c r="W38" i="2"/>
  <c r="Y40" i="1" s="1"/>
  <c r="W30" i="2"/>
  <c r="W53" i="2"/>
  <c r="Y52" i="1" s="1"/>
  <c r="W52" i="2"/>
  <c r="Y51" i="1" s="1"/>
  <c r="W25" i="2"/>
  <c r="W31" i="2"/>
  <c r="W28" i="2"/>
  <c r="W29" i="2"/>
  <c r="Y35" i="1" s="1"/>
  <c r="W27" i="2"/>
  <c r="W26" i="2"/>
  <c r="W23" i="2"/>
  <c r="W10" i="2"/>
  <c r="W18" i="2"/>
  <c r="W9" i="2"/>
  <c r="W17" i="2"/>
  <c r="W21" i="2"/>
  <c r="W19" i="2"/>
  <c r="W14" i="2"/>
  <c r="W16" i="2"/>
  <c r="Y14" i="1" s="1"/>
  <c r="W8" i="2"/>
  <c r="Y9" i="1" s="1"/>
  <c r="W7" i="2"/>
  <c r="W6" i="2"/>
  <c r="W5" i="2"/>
  <c r="W4" i="2"/>
  <c r="W3" i="2"/>
  <c r="W2" i="2"/>
  <c r="Y5" i="1" s="1"/>
  <c r="U38" i="2"/>
  <c r="U36" i="2"/>
  <c r="V36" i="2"/>
  <c r="X39" i="1" s="1"/>
  <c r="V38" i="2"/>
  <c r="V30" i="2"/>
  <c r="V53" i="2"/>
  <c r="V52" i="2"/>
  <c r="V25" i="2"/>
  <c r="V31" i="2"/>
  <c r="V28" i="2"/>
  <c r="V29" i="2"/>
  <c r="V27" i="2"/>
  <c r="V26" i="2"/>
  <c r="V23" i="2"/>
  <c r="U19" i="2"/>
  <c r="V21" i="2"/>
  <c r="V19" i="2"/>
  <c r="V16" i="2"/>
  <c r="V14" i="2"/>
  <c r="V10" i="2"/>
  <c r="X10" i="1" s="1"/>
  <c r="V18" i="2"/>
  <c r="V17" i="2"/>
  <c r="V8" i="2"/>
  <c r="X9" i="1" s="1"/>
  <c r="V7" i="2"/>
  <c r="V6" i="2"/>
  <c r="V5" i="2"/>
  <c r="V4" i="2"/>
  <c r="V3" i="2"/>
  <c r="V2" i="2"/>
  <c r="X5" i="1" s="1"/>
  <c r="U30" i="2"/>
  <c r="U28" i="2"/>
  <c r="U53" i="2"/>
  <c r="U25" i="2"/>
  <c r="U52" i="2"/>
  <c r="U31" i="2"/>
  <c r="U29" i="2"/>
  <c r="U27" i="2"/>
  <c r="W28" i="1" s="1"/>
  <c r="U26" i="2"/>
  <c r="U23" i="2"/>
  <c r="U21" i="2"/>
  <c r="U8" i="2"/>
  <c r="W9" i="1" s="1"/>
  <c r="AA41" i="2" l="1"/>
  <c r="AC60" i="2"/>
  <c r="W40" i="2"/>
  <c r="AA7" i="1"/>
  <c r="Y59" i="2"/>
  <c r="AE32" i="1"/>
  <c r="AB21" i="1"/>
  <c r="Z39" i="2"/>
  <c r="AA51" i="1"/>
  <c r="Z40" i="2"/>
  <c r="Y21" i="1"/>
  <c r="V39" i="2"/>
  <c r="AA52" i="1"/>
  <c r="AA14" i="1"/>
  <c r="X28" i="1"/>
  <c r="X31" i="1" s="1"/>
  <c r="Y7" i="1"/>
  <c r="Y40" i="2"/>
  <c r="Z14" i="1"/>
  <c r="AA10" i="1"/>
  <c r="AF32" i="1"/>
  <c r="V24" i="2"/>
  <c r="X25" i="1"/>
  <c r="X44" i="1"/>
  <c r="Z23" i="1"/>
  <c r="Z13" i="1"/>
  <c r="Z22" i="1"/>
  <c r="Z18" i="1"/>
  <c r="Z6" i="1"/>
  <c r="W35" i="1"/>
  <c r="Z31" i="1"/>
  <c r="X22" i="1"/>
  <c r="X23" i="1"/>
  <c r="X18" i="1"/>
  <c r="X13" i="1"/>
  <c r="X6" i="1"/>
  <c r="X35" i="1"/>
  <c r="X41" i="1"/>
  <c r="X47" i="1"/>
  <c r="W34" i="1"/>
  <c r="X7" i="1"/>
  <c r="X20" i="1"/>
  <c r="X15" i="1"/>
  <c r="X19" i="1"/>
  <c r="X17" i="1"/>
  <c r="X14" i="1"/>
  <c r="X52" i="1"/>
  <c r="U39" i="2"/>
  <c r="U41" i="2" s="1"/>
  <c r="W39" i="1"/>
  <c r="Y8" i="1"/>
  <c r="Y28" i="1"/>
  <c r="Y31" i="1" s="1"/>
  <c r="W57" i="2"/>
  <c r="W56" i="2"/>
  <c r="Y27" i="1"/>
  <c r="Z8" i="1"/>
  <c r="Z51" i="1"/>
  <c r="Z41" i="1"/>
  <c r="Z47" i="1"/>
  <c r="AA8" i="1"/>
  <c r="AA35" i="1"/>
  <c r="AB35" i="1"/>
  <c r="AB51" i="1"/>
  <c r="AB41" i="1"/>
  <c r="AB47" i="1"/>
  <c r="AB60" i="2"/>
  <c r="U57" i="2"/>
  <c r="U56" i="2"/>
  <c r="W27" i="1"/>
  <c r="U40" i="2"/>
  <c r="W40" i="1"/>
  <c r="W39" i="2"/>
  <c r="W41" i="2" s="1"/>
  <c r="Y39" i="1"/>
  <c r="AA22" i="1"/>
  <c r="AA18" i="1"/>
  <c r="AA23" i="1"/>
  <c r="AA13" i="1"/>
  <c r="AA6" i="1"/>
  <c r="AA47" i="1"/>
  <c r="AA41" i="1"/>
  <c r="AB23" i="1"/>
  <c r="AB22" i="1"/>
  <c r="AB18" i="1"/>
  <c r="AB13" i="1"/>
  <c r="AB6" i="1"/>
  <c r="V59" i="2"/>
  <c r="Y22" i="1"/>
  <c r="Y23" i="1"/>
  <c r="Y18" i="1"/>
  <c r="Y13" i="1"/>
  <c r="Y6" i="1"/>
  <c r="Y17" i="1"/>
  <c r="Y19" i="1"/>
  <c r="Y20" i="1"/>
  <c r="Y15" i="1"/>
  <c r="X58" i="2"/>
  <c r="X60" i="2" s="1"/>
  <c r="Z34" i="1"/>
  <c r="Y39" i="2"/>
  <c r="Y41" i="2" s="1"/>
  <c r="AB19" i="1"/>
  <c r="AB20" i="1"/>
  <c r="AB15" i="1"/>
  <c r="AB17" i="1"/>
  <c r="Z57" i="2"/>
  <c r="Z56" i="2"/>
  <c r="AB27" i="1"/>
  <c r="AB30" i="1" s="1"/>
  <c r="Z58" i="2"/>
  <c r="Z60" i="2" s="1"/>
  <c r="AB34" i="1"/>
  <c r="V58" i="2"/>
  <c r="V60" i="2" s="1"/>
  <c r="X34" i="1"/>
  <c r="X8" i="1"/>
  <c r="X21" i="1"/>
  <c r="V56" i="2"/>
  <c r="V57" i="2"/>
  <c r="X27" i="1"/>
  <c r="X30" i="1" s="1"/>
  <c r="V40" i="2"/>
  <c r="X40" i="1"/>
  <c r="Z17" i="1"/>
  <c r="Z19" i="1"/>
  <c r="Z15" i="1"/>
  <c r="Z20" i="1"/>
  <c r="X56" i="2"/>
  <c r="X57" i="2"/>
  <c r="Z27" i="1"/>
  <c r="Z30" i="1" s="1"/>
  <c r="AA15" i="1"/>
  <c r="AA17" i="1"/>
  <c r="AA20" i="1"/>
  <c r="AA19" i="1"/>
  <c r="X51" i="1"/>
  <c r="W24" i="2"/>
  <c r="Y25" i="1"/>
  <c r="Y44" i="1"/>
  <c r="Y10" i="1"/>
  <c r="W59" i="2"/>
  <c r="W58" i="2"/>
  <c r="W60" i="2" s="1"/>
  <c r="Y34" i="1"/>
  <c r="X24" i="2"/>
  <c r="Z44" i="1"/>
  <c r="Z25" i="1"/>
  <c r="Z35" i="1"/>
  <c r="AA25" i="1"/>
  <c r="AA44" i="1"/>
  <c r="AA28" i="1"/>
  <c r="AA31" i="1" s="1"/>
  <c r="Y56" i="2"/>
  <c r="Y57" i="2"/>
  <c r="AA27" i="1"/>
  <c r="AA30" i="1" s="1"/>
  <c r="Y58" i="2"/>
  <c r="Y60" i="2" s="1"/>
  <c r="AA34" i="1"/>
  <c r="AB44" i="1"/>
  <c r="AB25" i="1"/>
  <c r="AB28" i="1"/>
  <c r="AB31" i="1" s="1"/>
  <c r="AB32" i="1" s="1"/>
  <c r="AB52" i="1"/>
  <c r="AB16" i="1"/>
  <c r="AB11" i="1"/>
  <c r="AA11" i="1"/>
  <c r="AA16" i="1"/>
  <c r="Z11" i="1"/>
  <c r="Z16" i="1"/>
  <c r="Y16" i="1"/>
  <c r="Y11" i="1"/>
  <c r="X11" i="1"/>
  <c r="X16" i="1"/>
  <c r="X41" i="2"/>
  <c r="Z41" i="2"/>
  <c r="U14" i="2"/>
  <c r="U18" i="2"/>
  <c r="U10" i="2"/>
  <c r="U9" i="2"/>
  <c r="U17" i="2"/>
  <c r="U7" i="2"/>
  <c r="U16" i="2"/>
  <c r="U6" i="2"/>
  <c r="U58" i="2" s="1"/>
  <c r="U5" i="2"/>
  <c r="W7" i="1" s="1"/>
  <c r="U4" i="2"/>
  <c r="U3" i="2"/>
  <c r="U2" i="2"/>
  <c r="W5" i="1" s="1"/>
  <c r="T39" i="2"/>
  <c r="T36" i="2"/>
  <c r="V39" i="1" s="1"/>
  <c r="T38" i="2"/>
  <c r="V40" i="1" s="1"/>
  <c r="T30" i="2"/>
  <c r="T53" i="2"/>
  <c r="V52" i="1" s="1"/>
  <c r="T52" i="2"/>
  <c r="T26" i="2"/>
  <c r="T25" i="2"/>
  <c r="T31" i="2"/>
  <c r="T59" i="2" s="1"/>
  <c r="T28" i="2"/>
  <c r="T29" i="2"/>
  <c r="T27" i="2"/>
  <c r="V28" i="1" s="1"/>
  <c r="T24" i="2"/>
  <c r="T19" i="2"/>
  <c r="T16" i="2"/>
  <c r="V14" i="1" s="1"/>
  <c r="T14" i="2"/>
  <c r="T10" i="2"/>
  <c r="T18" i="2"/>
  <c r="T9" i="2"/>
  <c r="T17" i="2"/>
  <c r="T8" i="2"/>
  <c r="V9" i="1" s="1"/>
  <c r="T7" i="2"/>
  <c r="V8" i="1" s="1"/>
  <c r="T6" i="2"/>
  <c r="T5" i="2"/>
  <c r="V7" i="1" s="1"/>
  <c r="T4" i="2"/>
  <c r="T2" i="2"/>
  <c r="V5" i="1" s="1"/>
  <c r="S40" i="2"/>
  <c r="S36" i="2"/>
  <c r="U39" i="1" s="1"/>
  <c r="U47" i="1" s="1"/>
  <c r="S38" i="2"/>
  <c r="U40" i="1" s="1"/>
  <c r="S30" i="2"/>
  <c r="S53" i="2"/>
  <c r="U52" i="1" s="1"/>
  <c r="S25" i="2"/>
  <c r="S52" i="2"/>
  <c r="S31" i="2"/>
  <c r="S28" i="2"/>
  <c r="S29" i="2"/>
  <c r="S27" i="2"/>
  <c r="S26" i="2"/>
  <c r="S6" i="2"/>
  <c r="S19" i="2"/>
  <c r="S16" i="2"/>
  <c r="U14" i="1" s="1"/>
  <c r="S14" i="2"/>
  <c r="S18" i="2"/>
  <c r="S10" i="2"/>
  <c r="S9" i="2"/>
  <c r="S17" i="2"/>
  <c r="S8" i="2"/>
  <c r="U9" i="1" s="1"/>
  <c r="R7" i="2"/>
  <c r="S7" i="2"/>
  <c r="U8" i="1" s="1"/>
  <c r="S5" i="2"/>
  <c r="S4" i="2"/>
  <c r="S2" i="2"/>
  <c r="U5" i="1" s="1"/>
  <c r="R36" i="2"/>
  <c r="T39" i="1" s="1"/>
  <c r="R38" i="2"/>
  <c r="T40" i="1" s="1"/>
  <c r="R30" i="2"/>
  <c r="R53" i="2"/>
  <c r="R52" i="2"/>
  <c r="R26" i="2"/>
  <c r="R25" i="2"/>
  <c r="R31" i="2"/>
  <c r="Q30" i="2"/>
  <c r="R28" i="2"/>
  <c r="R29" i="2"/>
  <c r="R27" i="2"/>
  <c r="R19" i="2"/>
  <c r="R16" i="2"/>
  <c r="R14" i="2"/>
  <c r="R9" i="2"/>
  <c r="R18" i="2"/>
  <c r="R10" i="2"/>
  <c r="R17" i="2"/>
  <c r="R8" i="2"/>
  <c r="T9" i="1" s="1"/>
  <c r="R6" i="2"/>
  <c r="R5" i="2"/>
  <c r="R4" i="2"/>
  <c r="R3" i="2"/>
  <c r="R2" i="2"/>
  <c r="Q36" i="2"/>
  <c r="S39" i="1" s="1"/>
  <c r="Q38" i="2"/>
  <c r="S40" i="1" s="1"/>
  <c r="Q53" i="2"/>
  <c r="Q52" i="2"/>
  <c r="Q25" i="2"/>
  <c r="Q31" i="2"/>
  <c r="Q59" i="2" s="1"/>
  <c r="Q28" i="2"/>
  <c r="Q29" i="2"/>
  <c r="Q27" i="2"/>
  <c r="S28" i="1" s="1"/>
  <c r="Q26" i="2"/>
  <c r="Q23" i="2"/>
  <c r="Q21" i="2"/>
  <c r="Q14" i="2"/>
  <c r="Q18" i="2"/>
  <c r="Q10" i="2"/>
  <c r="Q9" i="2"/>
  <c r="Q17" i="2"/>
  <c r="Q8" i="2"/>
  <c r="S9" i="1" s="1"/>
  <c r="Q7" i="2"/>
  <c r="Q4" i="2"/>
  <c r="Q6" i="2"/>
  <c r="Q5" i="2"/>
  <c r="S7" i="1" s="1"/>
  <c r="Q3" i="2"/>
  <c r="S14" i="1" s="1"/>
  <c r="Q2" i="2"/>
  <c r="S5" i="1" s="1"/>
  <c r="S10" i="1" l="1"/>
  <c r="T5" i="1"/>
  <c r="W8" i="1"/>
  <c r="W10" i="1"/>
  <c r="U35" i="1"/>
  <c r="V41" i="2"/>
  <c r="T10" i="1"/>
  <c r="W52" i="1"/>
  <c r="T8" i="1"/>
  <c r="T40" i="2"/>
  <c r="U60" i="2"/>
  <c r="T25" i="1"/>
  <c r="T44" i="1"/>
  <c r="R24" i="2"/>
  <c r="V31" i="1"/>
  <c r="T58" i="2"/>
  <c r="T60" i="2" s="1"/>
  <c r="V34" i="1"/>
  <c r="S35" i="1"/>
  <c r="T22" i="1"/>
  <c r="T13" i="1"/>
  <c r="T18" i="1"/>
  <c r="T23" i="1"/>
  <c r="T6" i="1"/>
  <c r="S8" i="1"/>
  <c r="S52" i="1"/>
  <c r="Q40" i="2"/>
  <c r="T7" i="1"/>
  <c r="T14" i="1"/>
  <c r="T35" i="1"/>
  <c r="R56" i="2"/>
  <c r="R57" i="2"/>
  <c r="T27" i="1"/>
  <c r="R58" i="2"/>
  <c r="T34" i="1"/>
  <c r="R40" i="2"/>
  <c r="U10" i="1"/>
  <c r="U28" i="1"/>
  <c r="U51" i="1"/>
  <c r="U41" i="1"/>
  <c r="V51" i="1"/>
  <c r="V41" i="1"/>
  <c r="V47" i="1"/>
  <c r="W14" i="1"/>
  <c r="W41" i="1"/>
  <c r="W47" i="1"/>
  <c r="U59" i="2"/>
  <c r="S57" i="2"/>
  <c r="S56" i="2"/>
  <c r="U27" i="1"/>
  <c r="V18" i="1"/>
  <c r="V23" i="1"/>
  <c r="V22" i="1"/>
  <c r="V13" i="1"/>
  <c r="V6" i="1"/>
  <c r="W23" i="1"/>
  <c r="W18" i="1"/>
  <c r="W13" i="1"/>
  <c r="W22" i="1"/>
  <c r="W6" i="1"/>
  <c r="Y47" i="1"/>
  <c r="Y41" i="1"/>
  <c r="Z32" i="1"/>
  <c r="Q56" i="2"/>
  <c r="Q57" i="2"/>
  <c r="S27" i="1"/>
  <c r="T47" i="1"/>
  <c r="T41" i="1"/>
  <c r="V19" i="1"/>
  <c r="V15" i="1"/>
  <c r="V21" i="1"/>
  <c r="V17" i="1"/>
  <c r="V20" i="1"/>
  <c r="W15" i="1"/>
  <c r="W19" i="1"/>
  <c r="W17" i="1"/>
  <c r="W20" i="1"/>
  <c r="AA32" i="1"/>
  <c r="X32" i="1"/>
  <c r="Q24" i="2"/>
  <c r="S31" i="1" s="1"/>
  <c r="S25" i="1"/>
  <c r="S44" i="1"/>
  <c r="S17" i="1"/>
  <c r="S15" i="1"/>
  <c r="S20" i="1"/>
  <c r="S19" i="1"/>
  <c r="S41" i="1"/>
  <c r="S47" i="1"/>
  <c r="Q58" i="2"/>
  <c r="Q60" i="2" s="1"/>
  <c r="S34" i="1"/>
  <c r="T51" i="1"/>
  <c r="U23" i="1"/>
  <c r="U22" i="1"/>
  <c r="U18" i="1"/>
  <c r="U13" i="1"/>
  <c r="U6" i="1"/>
  <c r="S24" i="2"/>
  <c r="U30" i="1" s="1"/>
  <c r="U44" i="1"/>
  <c r="U25" i="1"/>
  <c r="S39" i="2"/>
  <c r="T56" i="2"/>
  <c r="T57" i="2"/>
  <c r="V27" i="1"/>
  <c r="V30" i="1" s="1"/>
  <c r="S23" i="1"/>
  <c r="S22" i="1"/>
  <c r="S18" i="1"/>
  <c r="S6" i="1"/>
  <c r="S13" i="1"/>
  <c r="S21" i="1"/>
  <c r="S51" i="1"/>
  <c r="Q39" i="2"/>
  <c r="Q41" i="2" s="1"/>
  <c r="T21" i="1"/>
  <c r="T17" i="1"/>
  <c r="T20" i="1"/>
  <c r="T15" i="1"/>
  <c r="T19" i="1"/>
  <c r="T28" i="1"/>
  <c r="R59" i="2"/>
  <c r="T52" i="1"/>
  <c r="R39" i="2"/>
  <c r="R41" i="2" s="1"/>
  <c r="U7" i="1"/>
  <c r="U20" i="1"/>
  <c r="U15" i="1"/>
  <c r="U21" i="1"/>
  <c r="U19" i="1"/>
  <c r="U17" i="1"/>
  <c r="S59" i="2"/>
  <c r="S58" i="2"/>
  <c r="S60" i="2" s="1"/>
  <c r="U34" i="1"/>
  <c r="V25" i="1"/>
  <c r="V44" i="1"/>
  <c r="V10" i="1"/>
  <c r="V35" i="1"/>
  <c r="U24" i="2"/>
  <c r="W44" i="1"/>
  <c r="W25" i="1"/>
  <c r="W21" i="1"/>
  <c r="Y30" i="1"/>
  <c r="Y32" i="1" s="1"/>
  <c r="W51" i="1"/>
  <c r="W16" i="1"/>
  <c r="W11" i="1"/>
  <c r="V16" i="1"/>
  <c r="V11" i="1"/>
  <c r="U16" i="1"/>
  <c r="U11" i="1"/>
  <c r="T16" i="1"/>
  <c r="T11" i="1"/>
  <c r="S16" i="1"/>
  <c r="S11" i="1"/>
  <c r="T41" i="2"/>
  <c r="S41" i="2"/>
  <c r="P36" i="2"/>
  <c r="R39" i="1" s="1"/>
  <c r="P38" i="2"/>
  <c r="R40" i="1" s="1"/>
  <c r="P30" i="2"/>
  <c r="P53" i="2"/>
  <c r="P52" i="2"/>
  <c r="P25" i="2"/>
  <c r="P31" i="2"/>
  <c r="P28" i="2"/>
  <c r="P27" i="2"/>
  <c r="P29" i="2"/>
  <c r="R35" i="1" s="1"/>
  <c r="P26" i="2"/>
  <c r="P21" i="2"/>
  <c r="P19" i="2"/>
  <c r="P14" i="2"/>
  <c r="P18" i="2"/>
  <c r="P10" i="2"/>
  <c r="P9" i="2"/>
  <c r="R10" i="1" s="1"/>
  <c r="P17" i="2"/>
  <c r="P8" i="2"/>
  <c r="R9" i="1" s="1"/>
  <c r="P7" i="2"/>
  <c r="P6" i="2"/>
  <c r="P24" i="2" s="1"/>
  <c r="P5" i="2"/>
  <c r="P4" i="2"/>
  <c r="P3" i="2"/>
  <c r="O36" i="2"/>
  <c r="O38" i="2"/>
  <c r="O30" i="2"/>
  <c r="O25" i="2"/>
  <c r="O53" i="2"/>
  <c r="O52" i="2"/>
  <c r="O31" i="2"/>
  <c r="O28" i="2"/>
  <c r="O27" i="2"/>
  <c r="Q28" i="1" s="1"/>
  <c r="O29" i="2"/>
  <c r="O26" i="2"/>
  <c r="R8" i="1" l="1"/>
  <c r="T31" i="1"/>
  <c r="R28" i="1"/>
  <c r="R60" i="2"/>
  <c r="R47" i="1"/>
  <c r="R41" i="1"/>
  <c r="Q34" i="1"/>
  <c r="P39" i="2"/>
  <c r="P41" i="2" s="1"/>
  <c r="Q35" i="1"/>
  <c r="O40" i="2"/>
  <c r="Q40" i="1"/>
  <c r="R7" i="1"/>
  <c r="R20" i="1"/>
  <c r="R15" i="1"/>
  <c r="R19" i="1"/>
  <c r="R17" i="1"/>
  <c r="P59" i="2"/>
  <c r="P58" i="2"/>
  <c r="P60" i="2" s="1"/>
  <c r="R34" i="1"/>
  <c r="P40" i="2"/>
  <c r="W30" i="1"/>
  <c r="W31" i="1"/>
  <c r="W32" i="1" s="1"/>
  <c r="T30" i="1"/>
  <c r="T32" i="1" s="1"/>
  <c r="P57" i="2"/>
  <c r="P56" i="2"/>
  <c r="R27" i="1"/>
  <c r="R30" i="1" s="1"/>
  <c r="S30" i="1"/>
  <c r="S32" i="1" s="1"/>
  <c r="U31" i="1"/>
  <c r="U32" i="1" s="1"/>
  <c r="O39" i="2"/>
  <c r="O41" i="2" s="1"/>
  <c r="Q39" i="1"/>
  <c r="R31" i="1"/>
  <c r="R44" i="1"/>
  <c r="R25" i="1"/>
  <c r="O57" i="2"/>
  <c r="O56" i="2"/>
  <c r="Q27" i="1"/>
  <c r="R14" i="1"/>
  <c r="R5" i="1"/>
  <c r="R21" i="1"/>
  <c r="R51" i="1"/>
  <c r="R23" i="1"/>
  <c r="R22" i="1"/>
  <c r="R18" i="1"/>
  <c r="R13" i="1"/>
  <c r="R6" i="1"/>
  <c r="R52" i="1"/>
  <c r="V32" i="1"/>
  <c r="R11" i="1"/>
  <c r="R16" i="1"/>
  <c r="O21" i="2"/>
  <c r="O19" i="2"/>
  <c r="O14" i="2"/>
  <c r="O18" i="2"/>
  <c r="O10" i="2"/>
  <c r="O9" i="2"/>
  <c r="O17" i="2"/>
  <c r="O8" i="2"/>
  <c r="Q9" i="1" s="1"/>
  <c r="O7" i="2"/>
  <c r="Q8" i="1" s="1"/>
  <c r="O6" i="2"/>
  <c r="Q52" i="1" s="1"/>
  <c r="O5" i="2"/>
  <c r="Q7" i="1" s="1"/>
  <c r="O4" i="2"/>
  <c r="Q10" i="1" l="1"/>
  <c r="Q30" i="1"/>
  <c r="Q21" i="1"/>
  <c r="O59" i="2"/>
  <c r="Q47" i="1"/>
  <c r="Q41" i="1"/>
  <c r="Q18" i="1"/>
  <c r="Q13" i="1"/>
  <c r="Q23" i="1"/>
  <c r="Q22" i="1"/>
  <c r="Q6" i="1"/>
  <c r="R32" i="1"/>
  <c r="Q15" i="1"/>
  <c r="Q19" i="1"/>
  <c r="Q20" i="1"/>
  <c r="Q17" i="1"/>
  <c r="O24" i="2"/>
  <c r="Q31" i="1" s="1"/>
  <c r="Q44" i="1"/>
  <c r="Q25" i="1"/>
  <c r="Q51" i="1"/>
  <c r="O58" i="2"/>
  <c r="Q16" i="1"/>
  <c r="Q11" i="1"/>
  <c r="N44" i="1"/>
  <c r="P43" i="1"/>
  <c r="O43" i="1"/>
  <c r="N43" i="1"/>
  <c r="O39" i="1"/>
  <c r="O47" i="1" s="1"/>
  <c r="P37" i="1"/>
  <c r="O37" i="1"/>
  <c r="N25" i="1"/>
  <c r="N23" i="1"/>
  <c r="N22" i="1"/>
  <c r="N14" i="1"/>
  <c r="N13" i="1"/>
  <c r="N10" i="1"/>
  <c r="P8" i="1"/>
  <c r="O8" i="1"/>
  <c r="N8" i="1"/>
  <c r="N7" i="1"/>
  <c r="N6" i="1"/>
  <c r="N5" i="1"/>
  <c r="N36" i="2"/>
  <c r="P39" i="1" s="1"/>
  <c r="N38" i="2"/>
  <c r="P40" i="1" s="1"/>
  <c r="N30" i="2"/>
  <c r="N53" i="2"/>
  <c r="N52" i="2"/>
  <c r="N25" i="2"/>
  <c r="N31" i="2"/>
  <c r="N28" i="2"/>
  <c r="N29" i="2"/>
  <c r="N27" i="2"/>
  <c r="N26" i="2"/>
  <c r="N21" i="2"/>
  <c r="N19" i="2"/>
  <c r="N16" i="2"/>
  <c r="P14" i="1" s="1"/>
  <c r="N14" i="2"/>
  <c r="P16" i="1" s="1"/>
  <c r="N10" i="2"/>
  <c r="N18" i="2"/>
  <c r="N9" i="2"/>
  <c r="N17" i="2"/>
  <c r="N8" i="2"/>
  <c r="P9" i="1" s="1"/>
  <c r="N6" i="2"/>
  <c r="P25" i="1" s="1"/>
  <c r="N5" i="2"/>
  <c r="N4" i="2"/>
  <c r="P23" i="1" s="1"/>
  <c r="N2" i="2"/>
  <c r="P5" i="1" s="1"/>
  <c r="M39" i="2"/>
  <c r="M38" i="2"/>
  <c r="O40" i="1" s="1"/>
  <c r="M30" i="2"/>
  <c r="M53" i="2"/>
  <c r="M52" i="2"/>
  <c r="M26" i="2"/>
  <c r="M25" i="2"/>
  <c r="M31" i="2"/>
  <c r="M28" i="2"/>
  <c r="M29" i="2"/>
  <c r="M27" i="2"/>
  <c r="M52" i="1"/>
  <c r="L52" i="1"/>
  <c r="K52" i="1"/>
  <c r="M51" i="1"/>
  <c r="L51" i="1"/>
  <c r="K51" i="1"/>
  <c r="M44" i="1"/>
  <c r="L44" i="1"/>
  <c r="K44" i="1"/>
  <c r="M43" i="1"/>
  <c r="L43" i="1"/>
  <c r="K43" i="1"/>
  <c r="M40" i="1"/>
  <c r="L40" i="1"/>
  <c r="K40" i="1"/>
  <c r="M39" i="1"/>
  <c r="L39" i="1"/>
  <c r="K39" i="1"/>
  <c r="M37" i="1"/>
  <c r="L37" i="1"/>
  <c r="K37" i="1"/>
  <c r="M35" i="1"/>
  <c r="L35" i="1"/>
  <c r="K35" i="1"/>
  <c r="M34" i="1"/>
  <c r="L34" i="1"/>
  <c r="K34" i="1"/>
  <c r="M28" i="1"/>
  <c r="L28" i="1"/>
  <c r="K28" i="1"/>
  <c r="M27" i="1"/>
  <c r="L27" i="1"/>
  <c r="K27" i="1"/>
  <c r="M25" i="1"/>
  <c r="L25" i="1"/>
  <c r="K25" i="1"/>
  <c r="M23" i="1"/>
  <c r="L23" i="1"/>
  <c r="K23" i="1"/>
  <c r="M22" i="1"/>
  <c r="L22" i="1"/>
  <c r="K22" i="1"/>
  <c r="M21" i="1"/>
  <c r="L21" i="1"/>
  <c r="K21" i="1"/>
  <c r="M19" i="1"/>
  <c r="L19" i="1"/>
  <c r="K19" i="1"/>
  <c r="M17" i="1"/>
  <c r="L17" i="1"/>
  <c r="K17" i="1"/>
  <c r="M15" i="1"/>
  <c r="L15" i="1"/>
  <c r="K15" i="1"/>
  <c r="M14" i="1"/>
  <c r="L14" i="1"/>
  <c r="K14" i="1"/>
  <c r="M13" i="1"/>
  <c r="L13" i="1"/>
  <c r="K13" i="1"/>
  <c r="M10" i="1"/>
  <c r="L10" i="1"/>
  <c r="K10" i="1"/>
  <c r="M9" i="1"/>
  <c r="L9" i="1"/>
  <c r="K9" i="1"/>
  <c r="H9" i="1"/>
  <c r="I9" i="1"/>
  <c r="J9" i="1"/>
  <c r="H10" i="1"/>
  <c r="I10" i="1"/>
  <c r="J10" i="1"/>
  <c r="M7" i="1"/>
  <c r="L7" i="1"/>
  <c r="K7" i="1"/>
  <c r="M6" i="1"/>
  <c r="L6" i="1"/>
  <c r="K6" i="1"/>
  <c r="M5" i="1"/>
  <c r="L5" i="1"/>
  <c r="K5" i="1"/>
  <c r="M21" i="2"/>
  <c r="O21" i="1" s="1"/>
  <c r="M19" i="2"/>
  <c r="M18" i="2"/>
  <c r="M17" i="2"/>
  <c r="M6" i="2"/>
  <c r="M24" i="2" s="1"/>
  <c r="M5" i="2"/>
  <c r="M4" i="2"/>
  <c r="M16" i="2"/>
  <c r="O14" i="1" s="1"/>
  <c r="M9" i="2"/>
  <c r="M10" i="2"/>
  <c r="M14" i="2"/>
  <c r="O16" i="1" s="1"/>
  <c r="L8" i="2"/>
  <c r="N9" i="1" s="1"/>
  <c r="M8" i="2"/>
  <c r="O9" i="1" s="1"/>
  <c r="M2" i="2"/>
  <c r="O5" i="1" s="1"/>
  <c r="L35" i="2"/>
  <c r="L39" i="2" s="1"/>
  <c r="L38" i="2"/>
  <c r="N40" i="1" s="1"/>
  <c r="L33" i="2"/>
  <c r="N37" i="1" s="1"/>
  <c r="L30" i="2"/>
  <c r="L28" i="2"/>
  <c r="L53" i="2"/>
  <c r="N52" i="1" s="1"/>
  <c r="L52" i="2"/>
  <c r="N51" i="1" s="1"/>
  <c r="L25" i="2"/>
  <c r="L31" i="2"/>
  <c r="L59" i="2" s="1"/>
  <c r="L29" i="2"/>
  <c r="N35" i="1" s="1"/>
  <c r="L27" i="2"/>
  <c r="L26" i="2"/>
  <c r="L24" i="2"/>
  <c r="L21" i="2"/>
  <c r="L19" i="2"/>
  <c r="L18" i="2"/>
  <c r="L17" i="2"/>
  <c r="N17" i="1" s="1"/>
  <c r="L14" i="2"/>
  <c r="N16" i="1" s="1"/>
  <c r="K40" i="2"/>
  <c r="K39" i="2"/>
  <c r="K24" i="2"/>
  <c r="I14" i="2"/>
  <c r="K16" i="1" s="1"/>
  <c r="H14" i="2"/>
  <c r="G14" i="2"/>
  <c r="K14" i="2"/>
  <c r="M16" i="1" s="1"/>
  <c r="J14" i="2"/>
  <c r="L16" i="1" s="1"/>
  <c r="K7" i="2"/>
  <c r="M8" i="1" s="1"/>
  <c r="J7" i="2"/>
  <c r="L8" i="1" s="1"/>
  <c r="I7" i="2"/>
  <c r="K8" i="1" s="1"/>
  <c r="H7" i="2"/>
  <c r="G7" i="2"/>
  <c r="F7" i="2"/>
  <c r="J40" i="2"/>
  <c r="J39" i="2"/>
  <c r="N21" i="1" l="1"/>
  <c r="O10" i="1"/>
  <c r="P35" i="1"/>
  <c r="O19" i="1"/>
  <c r="N28" i="1"/>
  <c r="O7" i="1"/>
  <c r="O35" i="1"/>
  <c r="P7" i="1"/>
  <c r="P10" i="1"/>
  <c r="P28" i="1"/>
  <c r="P27" i="1"/>
  <c r="N56" i="2"/>
  <c r="N57" i="2"/>
  <c r="O60" i="2"/>
  <c r="Q32" i="1"/>
  <c r="O51" i="1"/>
  <c r="P51" i="1"/>
  <c r="M59" i="2"/>
  <c r="O52" i="1"/>
  <c r="P21" i="1"/>
  <c r="P52" i="1"/>
  <c r="N39" i="2"/>
  <c r="N27" i="1"/>
  <c r="N30" i="1" s="1"/>
  <c r="L56" i="2"/>
  <c r="L57" i="2"/>
  <c r="N34" i="1"/>
  <c r="L58" i="2"/>
  <c r="L60" i="2" s="1"/>
  <c r="L40" i="2"/>
  <c r="L41" i="2" s="1"/>
  <c r="O22" i="1"/>
  <c r="O28" i="1"/>
  <c r="O31" i="1" s="1"/>
  <c r="O27" i="1"/>
  <c r="O30" i="1" s="1"/>
  <c r="M56" i="2"/>
  <c r="M57" i="2"/>
  <c r="O34" i="1"/>
  <c r="M58" i="2"/>
  <c r="M60" i="2" s="1"/>
  <c r="P19" i="1"/>
  <c r="N59" i="2"/>
  <c r="P34" i="1"/>
  <c r="N58" i="2"/>
  <c r="N60" i="2" s="1"/>
  <c r="P41" i="1"/>
  <c r="M40" i="2"/>
  <c r="M41" i="2" s="1"/>
  <c r="O6" i="1"/>
  <c r="P13" i="1"/>
  <c r="N15" i="1"/>
  <c r="O17" i="1"/>
  <c r="P18" i="1"/>
  <c r="N20" i="1"/>
  <c r="P22" i="1"/>
  <c r="O44" i="1"/>
  <c r="P6" i="1"/>
  <c r="O15" i="1"/>
  <c r="P17" i="1"/>
  <c r="N19" i="1"/>
  <c r="O20" i="1"/>
  <c r="O25" i="1"/>
  <c r="P44" i="1"/>
  <c r="N24" i="2"/>
  <c r="P15" i="1"/>
  <c r="N18" i="1"/>
  <c r="P20" i="1"/>
  <c r="O23" i="1"/>
  <c r="N39" i="1"/>
  <c r="N47" i="1" s="1"/>
  <c r="K41" i="2"/>
  <c r="N40" i="2"/>
  <c r="N41" i="2" s="1"/>
  <c r="O13" i="1"/>
  <c r="O18" i="1"/>
  <c r="O41" i="1"/>
  <c r="M30" i="1"/>
  <c r="J41" i="2"/>
  <c r="N11" i="1"/>
  <c r="P47" i="1"/>
  <c r="O11" i="1"/>
  <c r="M31" i="1"/>
  <c r="M32" i="1" s="1"/>
  <c r="P11" i="1"/>
  <c r="N31" i="1"/>
  <c r="K41" i="1"/>
  <c r="L41" i="1"/>
  <c r="L47" i="1"/>
  <c r="K47" i="1"/>
  <c r="M41" i="1"/>
  <c r="M47" i="1"/>
  <c r="J24" i="2"/>
  <c r="L30" i="1" s="1"/>
  <c r="I40" i="2"/>
  <c r="I39" i="2"/>
  <c r="I24" i="2"/>
  <c r="K30" i="1" s="1"/>
  <c r="J52" i="1"/>
  <c r="I52" i="1"/>
  <c r="H52" i="1"/>
  <c r="J51" i="1"/>
  <c r="I51" i="1"/>
  <c r="H51" i="1"/>
  <c r="J44" i="1"/>
  <c r="I44" i="1"/>
  <c r="H44" i="1"/>
  <c r="J43" i="1"/>
  <c r="I43" i="1"/>
  <c r="H43" i="1"/>
  <c r="J40" i="1"/>
  <c r="I40" i="1"/>
  <c r="H40" i="1"/>
  <c r="J39" i="1"/>
  <c r="I39" i="1"/>
  <c r="I47" i="1" s="1"/>
  <c r="H39" i="1"/>
  <c r="H47" i="1" s="1"/>
  <c r="J37" i="1"/>
  <c r="I37" i="1"/>
  <c r="H37" i="1"/>
  <c r="J35" i="1"/>
  <c r="I35" i="1"/>
  <c r="H35" i="1"/>
  <c r="J34" i="1"/>
  <c r="I34" i="1"/>
  <c r="H34" i="1"/>
  <c r="J28" i="1"/>
  <c r="I28" i="1"/>
  <c r="H28" i="1"/>
  <c r="J27" i="1"/>
  <c r="I27" i="1"/>
  <c r="H27" i="1"/>
  <c r="J25" i="1"/>
  <c r="I25" i="1"/>
  <c r="H25" i="1"/>
  <c r="J23" i="1"/>
  <c r="I23" i="1"/>
  <c r="H23" i="1"/>
  <c r="J19" i="1"/>
  <c r="I19" i="1"/>
  <c r="H19" i="1"/>
  <c r="J16" i="1"/>
  <c r="I16" i="1"/>
  <c r="J15" i="1"/>
  <c r="I15" i="1"/>
  <c r="H15" i="1"/>
  <c r="J14" i="1"/>
  <c r="I14" i="1"/>
  <c r="H14" i="1"/>
  <c r="J13" i="1"/>
  <c r="I13" i="1"/>
  <c r="H13" i="1"/>
  <c r="J8" i="1"/>
  <c r="I8" i="1"/>
  <c r="H8" i="1"/>
  <c r="J7" i="1"/>
  <c r="I7" i="1"/>
  <c r="H7" i="1"/>
  <c r="J6" i="1"/>
  <c r="I6" i="1"/>
  <c r="H6" i="1"/>
  <c r="J5" i="1"/>
  <c r="I5" i="1"/>
  <c r="H5" i="1"/>
  <c r="H40" i="2"/>
  <c r="H39" i="2"/>
  <c r="H24" i="2"/>
  <c r="G40" i="2"/>
  <c r="G39" i="2"/>
  <c r="G24" i="2"/>
  <c r="F40" i="2"/>
  <c r="F39" i="2"/>
  <c r="F24" i="2"/>
  <c r="F14" i="2"/>
  <c r="H16" i="1" s="1"/>
  <c r="G52" i="1"/>
  <c r="F52" i="1"/>
  <c r="E52" i="1"/>
  <c r="G51" i="1"/>
  <c r="F51" i="1"/>
  <c r="E51" i="1"/>
  <c r="G44" i="1"/>
  <c r="F44" i="1"/>
  <c r="E44" i="1"/>
  <c r="G43" i="1"/>
  <c r="F43" i="1"/>
  <c r="E43" i="1"/>
  <c r="G40" i="1"/>
  <c r="F40" i="1"/>
  <c r="E40" i="1"/>
  <c r="G39" i="1"/>
  <c r="G47" i="1" s="1"/>
  <c r="F39" i="1"/>
  <c r="E39" i="1"/>
  <c r="E47" i="1" s="1"/>
  <c r="G37" i="1"/>
  <c r="F37" i="1"/>
  <c r="E37" i="1"/>
  <c r="G35" i="1"/>
  <c r="F35" i="1"/>
  <c r="E35" i="1"/>
  <c r="G34" i="1"/>
  <c r="F34" i="1"/>
  <c r="E34" i="1"/>
  <c r="G28" i="1"/>
  <c r="F28" i="1"/>
  <c r="E28" i="1"/>
  <c r="G27" i="1"/>
  <c r="F27" i="1"/>
  <c r="E27" i="1"/>
  <c r="E24" i="2"/>
  <c r="D24" i="2"/>
  <c r="C24" i="2"/>
  <c r="G25" i="1"/>
  <c r="F25" i="1"/>
  <c r="E25" i="1"/>
  <c r="G23" i="1"/>
  <c r="F23" i="1"/>
  <c r="E23" i="1"/>
  <c r="G22" i="1"/>
  <c r="F22" i="1"/>
  <c r="E22" i="1"/>
  <c r="G21" i="1"/>
  <c r="F21" i="1"/>
  <c r="E21" i="1"/>
  <c r="G20" i="1"/>
  <c r="F20" i="1"/>
  <c r="E20" i="1"/>
  <c r="G19" i="1"/>
  <c r="F19" i="1"/>
  <c r="E19" i="1"/>
  <c r="G18" i="1"/>
  <c r="F18" i="1"/>
  <c r="E18" i="1"/>
  <c r="G17" i="1"/>
  <c r="F17" i="1"/>
  <c r="E17" i="1"/>
  <c r="G15" i="1"/>
  <c r="F15" i="1"/>
  <c r="E15" i="1"/>
  <c r="G14" i="1"/>
  <c r="F14" i="1"/>
  <c r="E14" i="1"/>
  <c r="G13" i="1"/>
  <c r="F13" i="1"/>
  <c r="E13" i="1"/>
  <c r="G10" i="1"/>
  <c r="F10" i="1"/>
  <c r="E10" i="1"/>
  <c r="G9" i="1"/>
  <c r="F9" i="1"/>
  <c r="E9" i="1"/>
  <c r="G8" i="1"/>
  <c r="F8" i="1"/>
  <c r="E8" i="1"/>
  <c r="G7" i="1"/>
  <c r="F7" i="1"/>
  <c r="E7" i="1"/>
  <c r="G6" i="1"/>
  <c r="F6" i="1"/>
  <c r="E6" i="1"/>
  <c r="E5" i="1"/>
  <c r="G5" i="1"/>
  <c r="E40" i="2"/>
  <c r="E39" i="2"/>
  <c r="E14" i="2"/>
  <c r="G11" i="1" s="1"/>
  <c r="P30" i="1" l="1"/>
  <c r="E30" i="1"/>
  <c r="F31" i="1"/>
  <c r="N41" i="1"/>
  <c r="O32" i="1"/>
  <c r="P31" i="1"/>
  <c r="P32" i="1" s="1"/>
  <c r="G16" i="1"/>
  <c r="H30" i="1"/>
  <c r="F30" i="1"/>
  <c r="F32" i="1" s="1"/>
  <c r="N32" i="1"/>
  <c r="G31" i="1"/>
  <c r="G30" i="1"/>
  <c r="E41" i="1"/>
  <c r="G41" i="2"/>
  <c r="J31" i="1"/>
  <c r="J41" i="1"/>
  <c r="J30" i="1"/>
  <c r="E31" i="1"/>
  <c r="E32" i="1" s="1"/>
  <c r="H31" i="1"/>
  <c r="L31" i="1"/>
  <c r="L32" i="1" s="1"/>
  <c r="K31" i="1"/>
  <c r="K32" i="1" s="1"/>
  <c r="I31" i="1"/>
  <c r="I30" i="1"/>
  <c r="F41" i="1"/>
  <c r="J47" i="1"/>
  <c r="H41" i="2"/>
  <c r="I41" i="1"/>
  <c r="H41" i="1"/>
  <c r="F41" i="2"/>
  <c r="E41" i="2"/>
  <c r="I41" i="2"/>
  <c r="G41" i="1"/>
  <c r="F47" i="1"/>
  <c r="D40" i="2"/>
  <c r="D39" i="2"/>
  <c r="D14" i="2"/>
  <c r="C40" i="2"/>
  <c r="C39" i="2"/>
  <c r="C14" i="2"/>
  <c r="I32" i="1" l="1"/>
  <c r="G32" i="1"/>
  <c r="J32" i="1"/>
  <c r="D41" i="2"/>
  <c r="H32" i="1"/>
  <c r="F16" i="1"/>
  <c r="F11" i="1"/>
  <c r="E16" i="1"/>
  <c r="E11" i="1"/>
  <c r="C41" i="2"/>
  <c r="F5" i="1"/>
</calcChain>
</file>

<file path=xl/sharedStrings.xml><?xml version="1.0" encoding="utf-8"?>
<sst xmlns="http://schemas.openxmlformats.org/spreadsheetml/2006/main" count="2574" uniqueCount="755">
  <si>
    <t>FootRat</t>
  </si>
  <si>
    <t>FootWid / WStem(I)</t>
    <phoneticPr fontId="1" type="noConversion"/>
  </si>
  <si>
    <t>TipRat</t>
    <phoneticPr fontId="1" type="noConversion"/>
  </si>
  <si>
    <t xml:space="preserve">SerTip / WStem(I) </t>
    <phoneticPr fontId="1" type="noConversion"/>
  </si>
  <si>
    <t>SerProp</t>
    <phoneticPr fontId="1" type="noConversion"/>
  </si>
  <si>
    <t>SerTall / CapH</t>
    <phoneticPr fontId="1" type="noConversion"/>
  </si>
  <si>
    <t>RonRat</t>
    <phoneticPr fontId="1" type="noConversion"/>
  </si>
  <si>
    <t>StemCor / WStem(I)</t>
    <phoneticPr fontId="1" type="noConversion"/>
  </si>
  <si>
    <t>FootPitch</t>
    <phoneticPr fontId="1" type="noConversion"/>
  </si>
  <si>
    <t>SerOb</t>
    <phoneticPr fontId="1" type="noConversion"/>
  </si>
  <si>
    <t>EWid / EOut</t>
    <phoneticPr fontId="1" type="noConversion"/>
  </si>
  <si>
    <t>FlatRat</t>
    <phoneticPr fontId="1" type="noConversion"/>
  </si>
  <si>
    <t>SymRat</t>
    <phoneticPr fontId="1" type="noConversion"/>
  </si>
  <si>
    <t>SerWidL / SerWidR</t>
    <phoneticPr fontId="1" type="noConversion"/>
  </si>
  <si>
    <t>HipRat</t>
    <phoneticPr fontId="1" type="noConversion"/>
  </si>
  <si>
    <t>CuspRat</t>
    <phoneticPr fontId="1" type="noConversion"/>
  </si>
  <si>
    <t>SerOff / WStem(I)</t>
    <phoneticPr fontId="1" type="noConversion"/>
  </si>
  <si>
    <t>SerSize</t>
    <phoneticPr fontId="1" type="noConversion"/>
  </si>
  <si>
    <t xml:space="preserve">TRadAv </t>
    <phoneticPr fontId="1" type="noConversion"/>
  </si>
  <si>
    <t>DropRat</t>
    <phoneticPr fontId="1" type="noConversion"/>
  </si>
  <si>
    <t>Drop / (SerWidL-HipRad)</t>
    <phoneticPr fontId="1" type="noConversion"/>
  </si>
  <si>
    <t>StepRat</t>
    <phoneticPr fontId="1" type="noConversion"/>
  </si>
  <si>
    <t>SerTip / SerTall</t>
    <phoneticPr fontId="1" type="noConversion"/>
  </si>
  <si>
    <t>SerTip / SerWidL</t>
  </si>
  <si>
    <t>SerTip</t>
    <phoneticPr fontId="1" type="noConversion"/>
  </si>
  <si>
    <t>SerTall</t>
    <phoneticPr fontId="1" type="noConversion"/>
  </si>
  <si>
    <t>CapH</t>
    <phoneticPr fontId="1" type="noConversion"/>
  </si>
  <si>
    <t>StemCor</t>
    <phoneticPr fontId="1" type="noConversion"/>
  </si>
  <si>
    <t>FootPitch</t>
    <phoneticPr fontId="1" type="noConversion"/>
  </si>
  <si>
    <t>TipSum</t>
    <phoneticPr fontId="1" type="noConversion"/>
  </si>
  <si>
    <t>LTipRad</t>
    <phoneticPr fontId="1" type="noConversion"/>
  </si>
  <si>
    <t>SerWidL / CapH</t>
    <phoneticPr fontId="1" type="noConversion"/>
  </si>
  <si>
    <t>RonRat &lt; 0.2</t>
    <phoneticPr fontId="1" type="noConversion"/>
  </si>
  <si>
    <t xml:space="preserve">Footpitch &gt; 0 </t>
    <phoneticPr fontId="1" type="noConversion"/>
  </si>
  <si>
    <t xml:space="preserve">SerOb &gt;=1.03  or 
SerOb &lt;= 0.97 </t>
    <phoneticPr fontId="1" type="noConversion"/>
  </si>
  <si>
    <t>0.97 &lt; SerOb &lt; 1.03</t>
    <phoneticPr fontId="1" type="noConversion"/>
  </si>
  <si>
    <t>HipRat &lt;= 0.1</t>
    <phoneticPr fontId="1" type="noConversion"/>
  </si>
  <si>
    <t>TRadAv &lt;= 0</t>
    <phoneticPr fontId="1" type="noConversion"/>
  </si>
  <si>
    <t>HipRat &lt; 0.3</t>
    <phoneticPr fontId="1" type="noConversion"/>
  </si>
  <si>
    <t xml:space="preserve"> FootRat &gt; 1.05 &amp;&amp; 
SerProp &lt; 0.35</t>
    <phoneticPr fontId="1" type="noConversion"/>
  </si>
  <si>
    <t>9-Exaggerated</t>
    <phoneticPr fontId="1" type="noConversion"/>
  </si>
  <si>
    <t>Flat
pointed or rounded</t>
    <phoneticPr fontId="1" type="noConversion"/>
  </si>
  <si>
    <t>non-Flat</t>
    <phoneticPr fontId="1" type="noConversion"/>
  </si>
  <si>
    <t>Cove</t>
    <phoneticPr fontId="1" type="noConversion"/>
  </si>
  <si>
    <t>non-Cove</t>
    <phoneticPr fontId="1" type="noConversion"/>
  </si>
  <si>
    <t>HipRat &gt; 0.1</t>
    <phoneticPr fontId="1" type="noConversion"/>
  </si>
  <si>
    <t xml:space="preserve">SymRat &gt;1.2 or 
SymRat &lt; 0.85 </t>
    <phoneticPr fontId="1" type="noConversion"/>
  </si>
  <si>
    <t>CuspRat &gt; 0.15 or 
SerSize &gt; 0.19</t>
    <phoneticPr fontId="1" type="noConversion"/>
  </si>
  <si>
    <t>Pointed</t>
    <phoneticPr fontId="1" type="noConversion"/>
  </si>
  <si>
    <t xml:space="preserve">Rounded </t>
    <phoneticPr fontId="1" type="noConversion"/>
  </si>
  <si>
    <t>TRadAv &gt; 0</t>
    <phoneticPr fontId="1" type="noConversion"/>
  </si>
  <si>
    <t>SerOb&gt;0.93</t>
    <phoneticPr fontId="1" type="noConversion"/>
  </si>
  <si>
    <t>SerOb&lt;=0.93</t>
    <phoneticPr fontId="1" type="noConversion"/>
  </si>
  <si>
    <t>DropRat &gt; 0.2 &amp;&amp;
HipRat &lt;= 0.35</t>
    <phoneticPr fontId="1" type="noConversion"/>
  </si>
  <si>
    <t>Steep
10-Triangle serif</t>
    <phoneticPr fontId="1" type="noConversion"/>
  </si>
  <si>
    <t>Shallow</t>
    <phoneticPr fontId="1" type="noConversion"/>
  </si>
  <si>
    <t>DropRat &lt;=0.2 or
HipRat &gt; 0.35</t>
    <phoneticPr fontId="1" type="noConversion"/>
  </si>
  <si>
    <t>SerSize&lt;=0.09</t>
    <phoneticPr fontId="1" type="noConversion"/>
  </si>
  <si>
    <t>14-Flared</t>
    <phoneticPr fontId="1" type="noConversion"/>
  </si>
  <si>
    <t>10-Triangle serif</t>
    <phoneticPr fontId="1" type="noConversion"/>
  </si>
  <si>
    <t>2-Cove</t>
    <phoneticPr fontId="1" type="noConversion"/>
  </si>
  <si>
    <t>3-Obtuse Cove</t>
  </si>
  <si>
    <t>HipRat &lt;= 0.15</t>
    <phoneticPr fontId="1" type="noConversion"/>
  </si>
  <si>
    <t>SerRat &gt; 0.55</t>
    <phoneticPr fontId="1" type="noConversion"/>
  </si>
  <si>
    <t>8-Oval</t>
    <phoneticPr fontId="1" type="noConversion"/>
  </si>
  <si>
    <t>Shallow
6-Square serif</t>
    <phoneticPr fontId="1" type="noConversion"/>
  </si>
  <si>
    <t>Shallow
7-Thin serif</t>
    <phoneticPr fontId="1" type="noConversion"/>
  </si>
  <si>
    <t>Obtuse
5-Obtuse Square Cove</t>
    <phoneticPr fontId="1" type="noConversion"/>
  </si>
  <si>
    <t>Non-obtuse
4-Square Cove</t>
    <phoneticPr fontId="1" type="noConversion"/>
  </si>
  <si>
    <t>SerRat &lt;= 0.55 &amp;&amp; SerOb &gt; 0.93</t>
    <phoneticPr fontId="1" type="noConversion"/>
  </si>
  <si>
    <t>SerRat &lt;= 0.55 &amp;&amp; SerOb &lt;= 0.93</t>
    <phoneticPr fontId="1" type="noConversion"/>
  </si>
  <si>
    <t>HipRat &gt;= 0.3 &amp;&amp; SerOb &gt; 0.93</t>
    <phoneticPr fontId="1" type="noConversion"/>
  </si>
  <si>
    <t>HipRat &gt;= 0.3 &amp;&amp; SerOb &lt;= 0.93</t>
    <phoneticPr fontId="1" type="noConversion"/>
  </si>
  <si>
    <t>StepRat &lt;= 0.85</t>
    <phoneticPr fontId="1" type="noConversion"/>
  </si>
  <si>
    <t>StepRat &gt; 0.85 &amp;&amp; TipRat &gt; 0.35</t>
    <phoneticPr fontId="1" type="noConversion"/>
  </si>
  <si>
    <t>StepRat &gt; 0.85 &amp;&amp; TipRat &lt;= 0.35</t>
    <phoneticPr fontId="1" type="noConversion"/>
  </si>
  <si>
    <t>11-Normal</t>
    <phoneticPr fontId="1" type="noConversion"/>
  </si>
  <si>
    <t>12-Obtuse</t>
    <phoneticPr fontId="1" type="noConversion"/>
  </si>
  <si>
    <t xml:space="preserve">13-Perpendicular </t>
    <phoneticPr fontId="1" type="noConversion"/>
  </si>
  <si>
    <t>15-rounded</t>
    <phoneticPr fontId="1" type="noConversion"/>
  </si>
  <si>
    <t>14-flared</t>
    <phoneticPr fontId="1" type="noConversion"/>
  </si>
  <si>
    <t xml:space="preserve">Sans
FootRat&lt;=1.6  
&amp;&amp; TipRat&lt;0.1
</t>
    <phoneticPr fontId="1" type="noConversion"/>
  </si>
  <si>
    <r>
      <t xml:space="preserve">Serif
</t>
    </r>
    <r>
      <rPr>
        <sz val="11"/>
        <color theme="0" tint="-0.499984740745262"/>
        <rFont val="맑은 고딕"/>
        <family val="3"/>
        <charset val="129"/>
        <scheme val="minor"/>
      </rPr>
      <t xml:space="preserve">FootRat&gt;1.6 
or TipRat&gt;=0.1 </t>
    </r>
    <phoneticPr fontId="1" type="noConversion"/>
  </si>
  <si>
    <t>7-Thin serif</t>
    <phoneticPr fontId="1" type="noConversion"/>
  </si>
  <si>
    <t>TipSum/2</t>
    <phoneticPr fontId="1" type="noConversion"/>
  </si>
  <si>
    <t xml:space="preserve">SerRat </t>
    <phoneticPr fontId="1" type="noConversion"/>
  </si>
  <si>
    <t>SerSize</t>
    <phoneticPr fontId="1" type="noConversion"/>
  </si>
  <si>
    <t>SerWidL / CapH</t>
    <phoneticPr fontId="1" type="noConversion"/>
  </si>
  <si>
    <t>Serif</t>
    <phoneticPr fontId="1" type="noConversion"/>
  </si>
  <si>
    <t>Weight</t>
    <phoneticPr fontId="1" type="noConversion"/>
  </si>
  <si>
    <t xml:space="preserve">WeightRat </t>
    <phoneticPr fontId="1" type="noConversion"/>
  </si>
  <si>
    <t>CapH / Wstem_E</t>
    <phoneticPr fontId="1" type="noConversion"/>
  </si>
  <si>
    <t>Proportion</t>
    <phoneticPr fontId="1" type="noConversion"/>
  </si>
  <si>
    <t>ThinAv</t>
    <phoneticPr fontId="1" type="noConversion"/>
  </si>
  <si>
    <t xml:space="preserve">(EWid + SWid) / 2 </t>
    <phoneticPr fontId="1" type="noConversion"/>
  </si>
  <si>
    <t xml:space="preserve">WideAv </t>
    <phoneticPr fontId="1" type="noConversion"/>
  </si>
  <si>
    <t>(OWid + HWid) / 2</t>
    <phoneticPr fontId="1" type="noConversion"/>
  </si>
  <si>
    <t xml:space="preserve">ThinRat </t>
    <phoneticPr fontId="1" type="noConversion"/>
  </si>
  <si>
    <t>CalcEm / ThinAv</t>
    <phoneticPr fontId="1" type="noConversion"/>
  </si>
  <si>
    <t>WideRat</t>
    <phoneticPr fontId="1" type="noConversion"/>
  </si>
  <si>
    <t>CalcEm / WideAv</t>
    <phoneticPr fontId="1" type="noConversion"/>
  </si>
  <si>
    <t>PropRat</t>
  </si>
  <si>
    <t>WideRat / ThinRat</t>
    <phoneticPr fontId="1" type="noConversion"/>
  </si>
  <si>
    <t xml:space="preserve">ORat </t>
    <phoneticPr fontId="1" type="noConversion"/>
  </si>
  <si>
    <t>OTall / Owid</t>
    <phoneticPr fontId="1" type="noConversion"/>
  </si>
  <si>
    <t>Contrast</t>
    <phoneticPr fontId="1" type="noConversion"/>
  </si>
  <si>
    <t>ConRat</t>
  </si>
  <si>
    <t>NarO / WideO</t>
  </si>
  <si>
    <t>Stroke Variation</t>
    <phoneticPr fontId="1" type="noConversion"/>
  </si>
  <si>
    <t>OutCurv</t>
  </si>
  <si>
    <t>OutMid / OutRad</t>
  </si>
  <si>
    <t xml:space="preserve">InCurv </t>
    <phoneticPr fontId="1" type="noConversion"/>
  </si>
  <si>
    <t>InMid / InRad</t>
    <phoneticPr fontId="1" type="noConversion"/>
  </si>
  <si>
    <t xml:space="preserve">Speed </t>
    <phoneticPr fontId="1" type="noConversion"/>
  </si>
  <si>
    <t>OutCurv / InCurv</t>
    <phoneticPr fontId="1" type="noConversion"/>
  </si>
  <si>
    <t>Arm Style</t>
    <phoneticPr fontId="1" type="noConversion"/>
  </si>
  <si>
    <t>TaperRat</t>
  </si>
  <si>
    <t>ArmAHi / ArmALo</t>
    <phoneticPr fontId="1" type="noConversion"/>
  </si>
  <si>
    <t>CurvRat</t>
    <phoneticPr fontId="1" type="noConversion"/>
  </si>
  <si>
    <t xml:space="preserve">ArmCurv / CapH </t>
    <phoneticPr fontId="1" type="noConversion"/>
  </si>
  <si>
    <t>CutRat</t>
    <phoneticPr fontId="1" type="noConversion"/>
  </si>
  <si>
    <t>CutCountLo / CutCountHi</t>
    <phoneticPr fontId="1" type="noConversion"/>
  </si>
  <si>
    <t>Letterform</t>
    <phoneticPr fontId="1" type="noConversion"/>
  </si>
  <si>
    <t xml:space="preserve">CentProp </t>
    <phoneticPr fontId="1" type="noConversion"/>
  </si>
  <si>
    <t>CentDist / Otall</t>
    <phoneticPr fontId="1" type="noConversion"/>
  </si>
  <si>
    <t>Midline</t>
    <phoneticPr fontId="1" type="noConversion"/>
  </si>
  <si>
    <t>X-height</t>
    <phoneticPr fontId="1" type="noConversion"/>
  </si>
  <si>
    <t>DuckRat</t>
  </si>
  <si>
    <t>AAcTall / CapH</t>
    <phoneticPr fontId="1" type="noConversion"/>
  </si>
  <si>
    <t xml:space="preserve">Rat </t>
    <phoneticPr fontId="1" type="noConversion"/>
  </si>
  <si>
    <t>XTall / CapH</t>
    <phoneticPr fontId="1" type="noConversion"/>
  </si>
  <si>
    <t>Text</t>
    <phoneticPr fontId="1" type="noConversion"/>
  </si>
  <si>
    <t>TipSum / SerTip</t>
    <phoneticPr fontId="1" type="noConversion"/>
  </si>
  <si>
    <t>SerWidL-UTipRad/HipRad</t>
    <phoneticPr fontId="1" type="noConversion"/>
  </si>
  <si>
    <t>SerWidR</t>
    <phoneticPr fontId="1" type="noConversion"/>
  </si>
  <si>
    <t>OutMid</t>
    <phoneticPr fontId="1" type="noConversion"/>
  </si>
  <si>
    <t>OutRad</t>
  </si>
  <si>
    <t>InMid</t>
    <phoneticPr fontId="1" type="noConversion"/>
  </si>
  <si>
    <t>InRad</t>
    <phoneticPr fontId="1" type="noConversion"/>
  </si>
  <si>
    <t>ArmALo</t>
  </si>
  <si>
    <t>ArmCurv</t>
  </si>
  <si>
    <t>CutCountLo</t>
  </si>
  <si>
    <t>CutCountHi</t>
    <phoneticPr fontId="1" type="noConversion"/>
  </si>
  <si>
    <t>CentDist</t>
  </si>
  <si>
    <t>명조B
D</t>
    <phoneticPr fontId="1" type="noConversion"/>
  </si>
  <si>
    <t>명조L
E</t>
    <phoneticPr fontId="1" type="noConversion"/>
  </si>
  <si>
    <t>고딕B
G</t>
    <phoneticPr fontId="1" type="noConversion"/>
  </si>
  <si>
    <t>고딕L
H</t>
    <phoneticPr fontId="1" type="noConversion"/>
  </si>
  <si>
    <t>Contrast</t>
    <phoneticPr fontId="1" type="noConversion"/>
  </si>
  <si>
    <t>Proportion</t>
    <phoneticPr fontId="1" type="noConversion"/>
  </si>
  <si>
    <t>Stroke Variation</t>
    <phoneticPr fontId="1" type="noConversion"/>
  </si>
  <si>
    <t>Arm Style</t>
    <phoneticPr fontId="1" type="noConversion"/>
  </si>
  <si>
    <t>Letterform</t>
    <phoneticPr fontId="1" type="noConversion"/>
  </si>
  <si>
    <t>X-height</t>
    <phoneticPr fontId="1" type="noConversion"/>
  </si>
  <si>
    <t>http://www.monotype.com/services/pan2</t>
  </si>
  <si>
    <t>JWid / MWid</t>
  </si>
  <si>
    <t>JMRat</t>
    <phoneticPr fontId="1" type="noConversion"/>
  </si>
  <si>
    <t>맘  와  니  왔  몸  핼</t>
    <phoneticPr fontId="1" type="noConversion"/>
  </si>
  <si>
    <t>OutCurv
OutMid / OutRad</t>
    <phoneticPr fontId="1" type="noConversion"/>
  </si>
  <si>
    <t>InCurv
InMid / InRad</t>
    <phoneticPr fontId="1" type="noConversion"/>
  </si>
  <si>
    <t>Speed
outcurv/incurv</t>
    <phoneticPr fontId="1" type="noConversion"/>
  </si>
  <si>
    <t>Wstem_I 이</t>
    <phoneticPr fontId="1" type="noConversion"/>
  </si>
  <si>
    <t>Wstem_E 아</t>
    <phoneticPr fontId="1" type="noConversion"/>
  </si>
  <si>
    <t>Footwid 이</t>
    <phoneticPr fontId="1" type="noConversion"/>
  </si>
  <si>
    <t>Ewid 으</t>
    <phoneticPr fontId="1" type="noConversion"/>
  </si>
  <si>
    <t>Eout 으</t>
    <phoneticPr fontId="1" type="noConversion"/>
  </si>
  <si>
    <t>UTipRad 이</t>
    <phoneticPr fontId="1" type="noConversion"/>
  </si>
  <si>
    <t>SerOff  이</t>
    <phoneticPr fontId="1" type="noConversion"/>
  </si>
  <si>
    <t>HipRad 이</t>
    <phoneticPr fontId="1" type="noConversion"/>
  </si>
  <si>
    <t>Drop 이</t>
    <phoneticPr fontId="1" type="noConversion"/>
  </si>
  <si>
    <t>Swid 핼</t>
    <phoneticPr fontId="1" type="noConversion"/>
  </si>
  <si>
    <t>Owid 왔</t>
    <phoneticPr fontId="1" type="noConversion"/>
  </si>
  <si>
    <t>Hwid 와</t>
    <phoneticPr fontId="1" type="noConversion"/>
  </si>
  <si>
    <t>Otall 왔</t>
    <phoneticPr fontId="1" type="noConversion"/>
  </si>
  <si>
    <t>Jwid 니</t>
    <phoneticPr fontId="1" type="noConversion"/>
  </si>
  <si>
    <t>Mwid 몸</t>
    <phoneticPr fontId="1" type="noConversion"/>
  </si>
  <si>
    <t>NarO ㅁ</t>
    <phoneticPr fontId="1" type="noConversion"/>
  </si>
  <si>
    <t>WideO ㅁ</t>
    <phoneticPr fontId="1" type="noConversion"/>
  </si>
  <si>
    <t>ArmAHi ㅅ</t>
    <phoneticPr fontId="1" type="noConversion"/>
  </si>
  <si>
    <t>AAcTall 맘</t>
    <phoneticPr fontId="1" type="noConversion"/>
  </si>
  <si>
    <t>Xtall 마</t>
    <phoneticPr fontId="1" type="noConversion"/>
  </si>
  <si>
    <t>SerWidL 으</t>
    <phoneticPr fontId="1" type="noConversion"/>
  </si>
  <si>
    <t>CentDist =vertical line from baseline to right-most point</t>
    <phoneticPr fontId="1" type="noConversion"/>
  </si>
  <si>
    <t>Slant</t>
    <phoneticPr fontId="1" type="noConversion"/>
  </si>
  <si>
    <t>CalcEm</t>
    <phoneticPr fontId="1" type="noConversion"/>
  </si>
  <si>
    <t>Ewid 맘</t>
    <phoneticPr fontId="1" type="noConversion"/>
  </si>
  <si>
    <r>
      <rPr>
        <sz val="10"/>
        <color theme="1"/>
        <rFont val="돋움"/>
        <family val="3"/>
        <charset val="129"/>
      </rPr>
      <t>명조</t>
    </r>
    <r>
      <rPr>
        <sz val="10"/>
        <color theme="1"/>
        <rFont val="Arial"/>
        <family val="2"/>
      </rPr>
      <t>M</t>
    </r>
    <phoneticPr fontId="1" type="noConversion"/>
  </si>
  <si>
    <t>명조B</t>
    <phoneticPr fontId="1" type="noConversion"/>
  </si>
  <si>
    <t>명조L</t>
    <phoneticPr fontId="1" type="noConversion"/>
  </si>
  <si>
    <t>아침B
J</t>
    <phoneticPr fontId="1" type="noConversion"/>
  </si>
  <si>
    <t>아침L
K</t>
    <phoneticPr fontId="1" type="noConversion"/>
  </si>
  <si>
    <t>X</t>
    <phoneticPr fontId="1" type="noConversion"/>
  </si>
  <si>
    <t>X</t>
    <phoneticPr fontId="1" type="noConversion"/>
  </si>
  <si>
    <r>
      <rPr>
        <sz val="10"/>
        <color theme="1"/>
        <rFont val="돋움"/>
        <family val="3"/>
        <charset val="129"/>
      </rPr>
      <t>고딕</t>
    </r>
    <r>
      <rPr>
        <sz val="10"/>
        <color theme="1"/>
        <rFont val="Arial"/>
        <family val="2"/>
      </rPr>
      <t>M</t>
    </r>
    <phoneticPr fontId="1" type="noConversion"/>
  </si>
  <si>
    <t>고딕B</t>
    <phoneticPr fontId="1" type="noConversion"/>
  </si>
  <si>
    <t>고딕L</t>
    <phoneticPr fontId="1" type="noConversion"/>
  </si>
  <si>
    <t>X</t>
    <phoneticPr fontId="1" type="noConversion"/>
  </si>
  <si>
    <t>천년B
M</t>
    <phoneticPr fontId="1" type="noConversion"/>
  </si>
  <si>
    <t>천년L
N</t>
    <phoneticPr fontId="1" type="noConversion"/>
  </si>
  <si>
    <t>X</t>
    <phoneticPr fontId="1" type="noConversion"/>
  </si>
  <si>
    <t>아침B</t>
    <phoneticPr fontId="1" type="noConversion"/>
  </si>
  <si>
    <t>아침L</t>
    <phoneticPr fontId="1" type="noConversion"/>
  </si>
  <si>
    <t>아침M</t>
    <phoneticPr fontId="1" type="noConversion"/>
  </si>
  <si>
    <t>천년M</t>
    <phoneticPr fontId="1" type="noConversion"/>
  </si>
  <si>
    <t>천년B</t>
    <phoneticPr fontId="1" type="noConversion"/>
  </si>
  <si>
    <t>천년L</t>
    <phoneticPr fontId="1" type="noConversion"/>
  </si>
  <si>
    <t>다나B
P</t>
    <phoneticPr fontId="1" type="noConversion"/>
  </si>
  <si>
    <t>다나L
Q</t>
    <phoneticPr fontId="1" type="noConversion"/>
  </si>
  <si>
    <t>이야기B
S</t>
    <phoneticPr fontId="1" type="noConversion"/>
  </si>
  <si>
    <t>이야기L
T</t>
    <phoneticPr fontId="1" type="noConversion"/>
  </si>
  <si>
    <t>광수명조B  V</t>
    <phoneticPr fontId="1" type="noConversion"/>
  </si>
  <si>
    <t>광수명조
L  W</t>
    <phoneticPr fontId="1" type="noConversion"/>
  </si>
  <si>
    <t>상아B
Y</t>
    <phoneticPr fontId="1" type="noConversion"/>
  </si>
  <si>
    <t>상아L
Z</t>
    <phoneticPr fontId="1" type="noConversion"/>
  </si>
  <si>
    <t>HY타자L
AB</t>
    <phoneticPr fontId="1" type="noConversion"/>
  </si>
  <si>
    <t>HY신명
10-AC</t>
    <phoneticPr fontId="1" type="noConversion"/>
  </si>
  <si>
    <t>HY태명
AD</t>
    <phoneticPr fontId="1" type="noConversion"/>
  </si>
  <si>
    <t>다나M</t>
    <phoneticPr fontId="1" type="noConversion"/>
  </si>
  <si>
    <t>다나B</t>
    <phoneticPr fontId="1" type="noConversion"/>
  </si>
  <si>
    <t>다나L</t>
    <phoneticPr fontId="1" type="noConversion"/>
  </si>
  <si>
    <t>이야기M</t>
    <phoneticPr fontId="1" type="noConversion"/>
  </si>
  <si>
    <t>이야기B</t>
    <phoneticPr fontId="1" type="noConversion"/>
  </si>
  <si>
    <t>이야기L</t>
    <phoneticPr fontId="1" type="noConversion"/>
  </si>
  <si>
    <t>광수명조M</t>
    <phoneticPr fontId="1" type="noConversion"/>
  </si>
  <si>
    <t xml:space="preserve">광수명조B  </t>
    <phoneticPr fontId="1" type="noConversion"/>
  </si>
  <si>
    <t>HY신명</t>
    <phoneticPr fontId="1" type="noConversion"/>
  </si>
  <si>
    <t>HY태명</t>
    <phoneticPr fontId="1" type="noConversion"/>
  </si>
  <si>
    <t>HY타자L</t>
    <phoneticPr fontId="1" type="noConversion"/>
  </si>
  <si>
    <t>HY타자M</t>
    <phoneticPr fontId="1" type="noConversion"/>
  </si>
  <si>
    <t>상아L</t>
    <phoneticPr fontId="1" type="noConversion"/>
  </si>
  <si>
    <t>상아B</t>
    <phoneticPr fontId="1" type="noConversion"/>
  </si>
  <si>
    <t>상아M</t>
    <phoneticPr fontId="1" type="noConversion"/>
  </si>
  <si>
    <t>광수명조L</t>
    <phoneticPr fontId="1" type="noConversion"/>
  </si>
  <si>
    <t>Weight</t>
    <phoneticPr fontId="1" type="noConversion"/>
  </si>
  <si>
    <t>WeightRat = CapH / WStem(E)</t>
  </si>
  <si>
    <t>0-Any                                    1-No fit</t>
    <phoneticPr fontId="1" type="noConversion"/>
  </si>
  <si>
    <t xml:space="preserve">2- Very Light …………………WeightRat &gt;= 35 </t>
    <phoneticPr fontId="1" type="noConversion"/>
  </si>
  <si>
    <t xml:space="preserve">3-Light………………… 18 &lt;= WeightRat &lt; 35 </t>
    <phoneticPr fontId="1" type="noConversion"/>
  </si>
  <si>
    <t>4-Thin……………………10 &lt;= WeightRat &lt; 18</t>
    <phoneticPr fontId="1" type="noConversion"/>
  </si>
  <si>
    <t>6-Medium……………….5.5 &lt;= WeightRat &lt; 7.5</t>
    <phoneticPr fontId="1" type="noConversion"/>
  </si>
  <si>
    <t xml:space="preserve">5-Book ………………….7.5 &lt;= WeightRat &lt; 10 </t>
    <phoneticPr fontId="1" type="noConversion"/>
  </si>
  <si>
    <t xml:space="preserve">7-Demi ………………….4.5 &lt;= WeightRat &lt; 5.5 </t>
    <phoneticPr fontId="1" type="noConversion"/>
  </si>
  <si>
    <t xml:space="preserve">8-Bold …………………..3.5 &lt;= WeightRat &lt; 4.5 </t>
    <phoneticPr fontId="1" type="noConversion"/>
  </si>
  <si>
    <t>9-Heavy………………… 2.5 &lt;= WeightRat &lt; 3.5</t>
    <phoneticPr fontId="1" type="noConversion"/>
  </si>
  <si>
    <t xml:space="preserve">11-Extra Black………………… WeightRat &lt; 2.0 </t>
    <phoneticPr fontId="1" type="noConversion"/>
  </si>
  <si>
    <t xml:space="preserve">10-Black………………… 2.0 &lt;= WeightRat &lt; 2.5 </t>
    <phoneticPr fontId="1" type="noConversion"/>
  </si>
  <si>
    <t>HY태고
AF</t>
    <phoneticPr fontId="1" type="noConversion"/>
  </si>
  <si>
    <t>HY중고</t>
    <phoneticPr fontId="1" type="noConversion"/>
  </si>
  <si>
    <t>HY태고</t>
    <phoneticPr fontId="1" type="noConversion"/>
  </si>
  <si>
    <t>x</t>
  </si>
  <si>
    <t>x</t>
    <phoneticPr fontId="1" type="noConversion"/>
  </si>
  <si>
    <t>x</t>
    <phoneticPr fontId="1" type="noConversion"/>
  </si>
  <si>
    <t>O</t>
    <phoneticPr fontId="1" type="noConversion"/>
  </si>
  <si>
    <t>X</t>
  </si>
  <si>
    <t>RonRat &lt; 0.2</t>
    <phoneticPr fontId="1" type="noConversion"/>
  </si>
  <si>
    <t>FootPitch &gt;0</t>
    <phoneticPr fontId="1" type="noConversion"/>
  </si>
  <si>
    <t>SerOb &gt;= 1.03 or &lt;=0.97</t>
    <phoneticPr fontId="1" type="noConversion"/>
  </si>
  <si>
    <t>0.97 &lt; SerOb &lt; 1.03</t>
    <phoneticPr fontId="1" type="noConversion"/>
  </si>
  <si>
    <t>11-Nornal</t>
    <phoneticPr fontId="1" type="noConversion"/>
  </si>
  <si>
    <t>2</t>
    <phoneticPr fontId="1" type="noConversion"/>
  </si>
  <si>
    <t>FootRat&gt;1.6 or TipRat&gt;=0.1</t>
    <phoneticPr fontId="1" type="noConversion"/>
  </si>
  <si>
    <t xml:space="preserve">FlatRat &gt; 0.8
  or TipRat &lt;= 0.25 </t>
    <phoneticPr fontId="1" type="noConversion"/>
  </si>
  <si>
    <t xml:space="preserve">FlatRat &lt;= 0.8
 or TipRat &gt; 0.25  </t>
    <phoneticPr fontId="1" type="noConversion"/>
  </si>
  <si>
    <t>11</t>
    <phoneticPr fontId="1" type="noConversion"/>
  </si>
  <si>
    <t>12</t>
    <phoneticPr fontId="1" type="noConversion"/>
  </si>
  <si>
    <t>13</t>
    <phoneticPr fontId="1" type="noConversion"/>
  </si>
  <si>
    <t>14</t>
    <phoneticPr fontId="1" type="noConversion"/>
  </si>
  <si>
    <t>15</t>
    <phoneticPr fontId="1" type="noConversion"/>
  </si>
  <si>
    <t>21</t>
    <phoneticPr fontId="1" type="noConversion"/>
  </si>
  <si>
    <t>211</t>
    <phoneticPr fontId="1" type="noConversion"/>
  </si>
  <si>
    <t>CuspRat &gt;0.15 or SerSize &gt; 0.19</t>
    <phoneticPr fontId="1" type="noConversion"/>
  </si>
  <si>
    <t>9-Exaggerated</t>
    <phoneticPr fontId="1" type="noConversion"/>
  </si>
  <si>
    <t>3-Obtuse Cove</t>
    <phoneticPr fontId="1" type="noConversion"/>
  </si>
  <si>
    <t>2122</t>
    <phoneticPr fontId="1" type="noConversion"/>
  </si>
  <si>
    <t>2123</t>
    <phoneticPr fontId="1" type="noConversion"/>
  </si>
  <si>
    <t>FootRat&gt;1.05 &amp; SerProp&lt;0.35</t>
    <phoneticPr fontId="1" type="noConversion"/>
  </si>
  <si>
    <t>TRadAV&gt;0 &amp; HipRat&lt;=0.15</t>
    <phoneticPr fontId="1" type="noConversion"/>
  </si>
  <si>
    <t>TRadAV&gt;0 &amp; SerRat&lt;=0.55 &amp; SerOb &gt; 0.93</t>
    <phoneticPr fontId="1" type="noConversion"/>
  </si>
  <si>
    <t>TRadAV&gt;0 &amp; SerRat&lt;=0.55 &amp; SerOb &lt;= 0.93</t>
    <phoneticPr fontId="1" type="noConversion"/>
  </si>
  <si>
    <t>TRadAV&lt;=0 &amp; SerSize&lt;=0.09</t>
    <phoneticPr fontId="1" type="noConversion"/>
  </si>
  <si>
    <t>TRadAV&lt;=0 &amp; HipRat&lt;0.3</t>
    <phoneticPr fontId="1" type="noConversion"/>
  </si>
  <si>
    <t>TRadAV&lt;=0 &amp; HipRat&gt;=0.3 &amp; SerOb&gt;0.93</t>
    <phoneticPr fontId="1" type="noConversion"/>
  </si>
  <si>
    <t>2124</t>
    <phoneticPr fontId="1" type="noConversion"/>
  </si>
  <si>
    <t>TRadAV&lt;=0 &amp; HipRat&gt;=0.3 &amp; SerOb&lt;=0.93</t>
    <phoneticPr fontId="1" type="noConversion"/>
  </si>
  <si>
    <t>22</t>
    <phoneticPr fontId="1" type="noConversion"/>
  </si>
  <si>
    <t>FlatRat &lt;=0.8 or TipRat &gt; 0.25</t>
    <phoneticPr fontId="1" type="noConversion"/>
  </si>
  <si>
    <t>SymRat &gt;1.2 or SymRat &lt;0.85</t>
    <phoneticPr fontId="1" type="noConversion"/>
  </si>
  <si>
    <t>X</t>
    <phoneticPr fontId="1" type="noConversion"/>
  </si>
  <si>
    <t>2121</t>
    <phoneticPr fontId="1" type="noConversion"/>
  </si>
  <si>
    <t>2131</t>
    <phoneticPr fontId="1" type="noConversion"/>
  </si>
  <si>
    <t>2132</t>
    <phoneticPr fontId="1" type="noConversion"/>
  </si>
  <si>
    <t>2133</t>
    <phoneticPr fontId="1" type="noConversion"/>
  </si>
  <si>
    <t>2134</t>
    <phoneticPr fontId="1" type="noConversion"/>
  </si>
  <si>
    <t>221</t>
    <phoneticPr fontId="1" type="noConversion"/>
  </si>
  <si>
    <t>2221</t>
    <phoneticPr fontId="1" type="noConversion"/>
  </si>
  <si>
    <t>2222</t>
    <phoneticPr fontId="1" type="noConversion"/>
  </si>
  <si>
    <t>0.35&gt;=HipRat&gt;0.1 &amp; DropRat&gt;0.2</t>
    <phoneticPr fontId="1" type="noConversion"/>
  </si>
  <si>
    <t>223</t>
    <phoneticPr fontId="1" type="noConversion"/>
  </si>
  <si>
    <t>HipRat&lt;=0.1 &amp; StepRat&lt;=0.85</t>
    <phoneticPr fontId="1" type="noConversion"/>
  </si>
  <si>
    <t>22221</t>
    <phoneticPr fontId="1" type="noConversion"/>
  </si>
  <si>
    <t>22222</t>
    <phoneticPr fontId="1" type="noConversion"/>
  </si>
  <si>
    <t>SerOb &lt;= 0.93</t>
    <phoneticPr fontId="1" type="noConversion"/>
  </si>
  <si>
    <t>0.93 &lt; SerOb</t>
    <phoneticPr fontId="1" type="noConversion"/>
  </si>
  <si>
    <t>LeftPitch</t>
    <phoneticPr fontId="1" type="noConversion"/>
  </si>
  <si>
    <t>LeftPitch</t>
    <phoneticPr fontId="1" type="noConversion"/>
  </si>
  <si>
    <t>11</t>
    <phoneticPr fontId="1" type="noConversion"/>
  </si>
  <si>
    <t>13</t>
    <phoneticPr fontId="1" type="noConversion"/>
  </si>
  <si>
    <t>4</t>
    <phoneticPr fontId="1" type="noConversion"/>
  </si>
  <si>
    <t>15</t>
    <phoneticPr fontId="1" type="noConversion"/>
  </si>
  <si>
    <t>4-SquareCove</t>
    <phoneticPr fontId="1" type="noConversion"/>
  </si>
  <si>
    <t>2
명조M
1-C</t>
    <phoneticPr fontId="1" type="noConversion"/>
  </si>
  <si>
    <t>11
고딕M
2-F</t>
    <phoneticPr fontId="1" type="noConversion"/>
  </si>
  <si>
    <t>6
아침M
3-I</t>
    <phoneticPr fontId="1" type="noConversion"/>
  </si>
  <si>
    <t>3
천년M
4-L</t>
    <phoneticPr fontId="1" type="noConversion"/>
  </si>
  <si>
    <t>3**
이야기M
6-R</t>
    <phoneticPr fontId="1" type="noConversion"/>
  </si>
  <si>
    <t>2
광수명조M  7-U</t>
    <phoneticPr fontId="1" type="noConversion"/>
  </si>
  <si>
    <t>13**
다나M
5-O</t>
    <phoneticPr fontId="1" type="noConversion"/>
  </si>
  <si>
    <t>O</t>
    <phoneticPr fontId="1" type="noConversion"/>
  </si>
  <si>
    <t>CuspRat &gt;0.85</t>
    <phoneticPr fontId="1" type="noConversion"/>
  </si>
  <si>
    <t>X</t>
    <phoneticPr fontId="1" type="noConversion"/>
  </si>
  <si>
    <t>X</t>
    <phoneticPr fontId="1" type="noConversion"/>
  </si>
  <si>
    <t>CuspRat &gt;0.15 or SerSize &gt; 0.19</t>
    <phoneticPr fontId="1" type="noConversion"/>
  </si>
  <si>
    <t>2 pointed</t>
    <phoneticPr fontId="1" type="noConversion"/>
  </si>
  <si>
    <t>3pointed</t>
    <phoneticPr fontId="1" type="noConversion"/>
  </si>
  <si>
    <t>3* rounded</t>
    <phoneticPr fontId="1" type="noConversion"/>
  </si>
  <si>
    <t>2 pointed</t>
    <phoneticPr fontId="1" type="noConversion"/>
  </si>
  <si>
    <t>9</t>
    <phoneticPr fontId="1" type="noConversion"/>
  </si>
  <si>
    <t>X</t>
    <phoneticPr fontId="1" type="noConversion"/>
  </si>
  <si>
    <t>X</t>
    <phoneticPr fontId="1" type="noConversion"/>
  </si>
  <si>
    <t>O</t>
    <phoneticPr fontId="1" type="noConversion"/>
  </si>
  <si>
    <t>O</t>
    <phoneticPr fontId="1" type="noConversion"/>
  </si>
  <si>
    <t>O</t>
    <phoneticPr fontId="1" type="noConversion"/>
  </si>
  <si>
    <t>O</t>
    <phoneticPr fontId="1" type="noConversion"/>
  </si>
  <si>
    <t>9.Exaggerated</t>
    <phoneticPr fontId="1" type="noConversion"/>
  </si>
  <si>
    <t>212</t>
    <phoneticPr fontId="1" type="noConversion"/>
  </si>
  <si>
    <t>TradAV&gt;0</t>
    <phoneticPr fontId="1" type="noConversion"/>
  </si>
  <si>
    <t>O</t>
    <phoneticPr fontId="1" type="noConversion"/>
  </si>
  <si>
    <t>10-triangle seirf</t>
    <phoneticPr fontId="1" type="noConversion"/>
  </si>
  <si>
    <t>224</t>
    <phoneticPr fontId="1" type="noConversion"/>
  </si>
  <si>
    <t>225</t>
    <phoneticPr fontId="1" type="noConversion"/>
  </si>
  <si>
    <t>HipRat&lt;=0.1 &amp; StepRat&gt;0.85 &amp; TipRat&gt;0.35</t>
    <phoneticPr fontId="1" type="noConversion"/>
  </si>
  <si>
    <t>HipRat&lt;=0.1 &amp; StepRat&gt;0.85 &amp; TipRat&lt;=0.35</t>
    <phoneticPr fontId="1" type="noConversion"/>
  </si>
  <si>
    <t>222</t>
    <phoneticPr fontId="1" type="noConversion"/>
  </si>
  <si>
    <t>HipRat&gt; 0.1</t>
    <phoneticPr fontId="1" type="noConversion"/>
  </si>
  <si>
    <t>5-Obtuse Square Cove</t>
    <phoneticPr fontId="1" type="noConversion"/>
  </si>
  <si>
    <t>FlatRat &gt;0.8 or TipRat &lt;=0.25</t>
    <phoneticPr fontId="1" type="noConversion"/>
  </si>
  <si>
    <t>TRadAV&gt;0 &amp; SerRat&gt;0.55</t>
    <phoneticPr fontId="1" type="noConversion"/>
  </si>
  <si>
    <t>HipRat&gt;0.35 or DropRat&lt;=0.2</t>
    <phoneticPr fontId="1" type="noConversion"/>
  </si>
  <si>
    <r>
      <t xml:space="preserve">FlatRat &gt;0.37 or </t>
    </r>
    <r>
      <rPr>
        <sz val="10"/>
        <color rgb="FFFF0000"/>
        <rFont val="Arial"/>
        <family val="2"/>
      </rPr>
      <t>TipRat &lt;= 0.76</t>
    </r>
    <phoneticPr fontId="1" type="noConversion"/>
  </si>
  <si>
    <t>211</t>
    <phoneticPr fontId="1" type="noConversion"/>
  </si>
  <si>
    <t>2-Cove</t>
  </si>
  <si>
    <t>2-Cove</t>
    <phoneticPr fontId="1" type="noConversion"/>
  </si>
  <si>
    <r>
      <t>TRadAV&gt;0 &amp; SerRat&lt;=0.55 &amp;</t>
    </r>
    <r>
      <rPr>
        <sz val="10"/>
        <color rgb="FFFF0000"/>
        <rFont val="Arial"/>
        <family val="2"/>
      </rPr>
      <t xml:space="preserve"> SerOb &gt; 0.27</t>
    </r>
    <phoneticPr fontId="1" type="noConversion"/>
  </si>
  <si>
    <t>TRadAV&lt;=0 &amp; SerSize&lt;=0.03</t>
    <phoneticPr fontId="1" type="noConversion"/>
  </si>
  <si>
    <t>3-Obtues Cove</t>
    <phoneticPr fontId="1" type="noConversion"/>
  </si>
  <si>
    <r>
      <t xml:space="preserve">TRadAV&gt;0 &amp; </t>
    </r>
    <r>
      <rPr>
        <sz val="10"/>
        <color rgb="FFFF0000"/>
        <rFont val="Arial"/>
        <family val="2"/>
      </rPr>
      <t>SerRat&gt;0.92</t>
    </r>
    <phoneticPr fontId="1" type="noConversion"/>
  </si>
  <si>
    <t>FlatRat &gt;0.8 or TipRat &lt;= 0.25</t>
    <phoneticPr fontId="1" type="noConversion"/>
  </si>
  <si>
    <t>4**
상아M
8-X</t>
    <phoneticPr fontId="1" type="noConversion"/>
  </si>
  <si>
    <t>4**</t>
    <phoneticPr fontId="1" type="noConversion"/>
  </si>
  <si>
    <t>9-Exaggerated</t>
    <phoneticPr fontId="1" type="noConversion"/>
  </si>
  <si>
    <r>
      <t>HipRat&lt;=0.1 &amp;</t>
    </r>
    <r>
      <rPr>
        <sz val="10"/>
        <color rgb="FFFF0000"/>
        <rFont val="Arial"/>
        <family val="2"/>
      </rPr>
      <t xml:space="preserve"> StepRat&lt;=0.36</t>
    </r>
    <phoneticPr fontId="1" type="noConversion"/>
  </si>
  <si>
    <t>X</t>
    <phoneticPr fontId="1" type="noConversion"/>
  </si>
  <si>
    <t>X</t>
    <phoneticPr fontId="1" type="noConversion"/>
  </si>
  <si>
    <t>X</t>
    <phoneticPr fontId="1" type="noConversion"/>
  </si>
  <si>
    <t>6-Square Serif</t>
    <phoneticPr fontId="1" type="noConversion"/>
  </si>
  <si>
    <t>FootRat&lt;=1.6 &amp; TipRat&lt;0.1</t>
    <phoneticPr fontId="1" type="noConversion"/>
  </si>
  <si>
    <t>Weight</t>
  </si>
  <si>
    <t xml:space="preserve">WeightRat </t>
  </si>
  <si>
    <r>
      <rPr>
        <sz val="9"/>
        <color theme="1"/>
        <rFont val="돋움"/>
        <family val="3"/>
        <charset val="129"/>
      </rPr>
      <t>명조</t>
    </r>
    <r>
      <rPr>
        <sz val="9"/>
        <color theme="1"/>
        <rFont val="Arial"/>
        <family val="2"/>
      </rPr>
      <t>M</t>
    </r>
    <phoneticPr fontId="1" type="noConversion"/>
  </si>
  <si>
    <r>
      <rPr>
        <sz val="9"/>
        <color theme="1"/>
        <rFont val="돋움"/>
        <family val="3"/>
        <charset val="129"/>
      </rPr>
      <t>고딕</t>
    </r>
    <r>
      <rPr>
        <sz val="9"/>
        <color theme="1"/>
        <rFont val="Arial"/>
        <family val="2"/>
      </rPr>
      <t>M</t>
    </r>
    <phoneticPr fontId="1" type="noConversion"/>
  </si>
  <si>
    <t xml:space="preserve">0-Any </t>
    <phoneticPr fontId="1" type="noConversion"/>
  </si>
  <si>
    <t xml:space="preserve">1-No fit </t>
    <phoneticPr fontId="1" type="noConversion"/>
  </si>
  <si>
    <t xml:space="preserve">2- Very Light WeightRat &gt;= 35 </t>
    <phoneticPr fontId="1" type="noConversion"/>
  </si>
  <si>
    <t>3-Light 18 &lt;= WeightRat &lt; 35</t>
    <phoneticPr fontId="1" type="noConversion"/>
  </si>
  <si>
    <t xml:space="preserve">4-Thin 10 &lt;= WeightRat &lt; 18 </t>
    <phoneticPr fontId="1" type="noConversion"/>
  </si>
  <si>
    <t xml:space="preserve">5-Book 7.5 &lt;= WeightRat &lt; 10 </t>
    <phoneticPr fontId="1" type="noConversion"/>
  </si>
  <si>
    <t xml:space="preserve">6-Medium 5.5 &lt;=WeightRat &lt; 7.5 </t>
    <phoneticPr fontId="1" type="noConversion"/>
  </si>
  <si>
    <t xml:space="preserve">7-Demi 4.5 &lt;=WeightRat &lt; 5.5 </t>
    <phoneticPr fontId="1" type="noConversion"/>
  </si>
  <si>
    <t xml:space="preserve">8-Bold 3.5 &lt;= WeightRat &lt; 4.5 </t>
    <phoneticPr fontId="1" type="noConversion"/>
  </si>
  <si>
    <t xml:space="preserve">9-Heavy 2.5 &lt;= WeightRat &lt; 3.5 </t>
    <phoneticPr fontId="1" type="noConversion"/>
  </si>
  <si>
    <t xml:space="preserve">10-Black 2.0 &lt;= WeightRat &lt; 2.5 </t>
    <phoneticPr fontId="1" type="noConversion"/>
  </si>
  <si>
    <t xml:space="preserve">11-Extra Black WeightRat &lt; 2.0 </t>
    <phoneticPr fontId="1" type="noConversion"/>
  </si>
  <si>
    <t>O</t>
    <phoneticPr fontId="1" type="noConversion"/>
  </si>
  <si>
    <t>O</t>
    <phoneticPr fontId="1" type="noConversion"/>
  </si>
  <si>
    <t>O</t>
    <phoneticPr fontId="1" type="noConversion"/>
  </si>
  <si>
    <t>O</t>
    <phoneticPr fontId="1" type="noConversion"/>
  </si>
  <si>
    <t>3-Light 13 &lt;= WeightRat &lt; 35</t>
    <phoneticPr fontId="1" type="noConversion"/>
  </si>
  <si>
    <t>O</t>
    <phoneticPr fontId="1" type="noConversion"/>
  </si>
  <si>
    <t>O</t>
    <phoneticPr fontId="1" type="noConversion"/>
  </si>
  <si>
    <t>Proportion</t>
  </si>
  <si>
    <t>ThinAv</t>
  </si>
  <si>
    <t xml:space="preserve">(EWid + SWid) / 2 </t>
  </si>
  <si>
    <t xml:space="preserve">WideAv </t>
  </si>
  <si>
    <t>(OWid + HWid) / 2</t>
  </si>
  <si>
    <t xml:space="preserve">ThinRat </t>
  </si>
  <si>
    <t>CalcEm / ThinAv</t>
  </si>
  <si>
    <t>WideRat</t>
  </si>
  <si>
    <t>CalcEm / WideAv</t>
  </si>
  <si>
    <t>WideRat / ThinRat</t>
  </si>
  <si>
    <t>JMRat</t>
  </si>
  <si>
    <t xml:space="preserve">ORat </t>
  </si>
  <si>
    <t>OTall / Owid</t>
  </si>
  <si>
    <t xml:space="preserve">0-Any </t>
    <phoneticPr fontId="1" type="noConversion"/>
  </si>
  <si>
    <t>1-No Fit</t>
  </si>
  <si>
    <r>
      <rPr>
        <sz val="9"/>
        <color theme="1"/>
        <rFont val="돋움"/>
        <family val="3"/>
        <charset val="129"/>
      </rPr>
      <t>명조</t>
    </r>
    <r>
      <rPr>
        <sz val="9"/>
        <color theme="1"/>
        <rFont val="Arial"/>
        <family val="2"/>
      </rPr>
      <t>M</t>
    </r>
    <phoneticPr fontId="1" type="noConversion"/>
  </si>
  <si>
    <r>
      <rPr>
        <sz val="9"/>
        <color theme="1"/>
        <rFont val="돋움"/>
        <family val="3"/>
        <charset val="129"/>
      </rPr>
      <t>고딕</t>
    </r>
    <r>
      <rPr>
        <sz val="9"/>
        <color theme="1"/>
        <rFont val="Arial"/>
        <family val="2"/>
      </rPr>
      <t>M</t>
    </r>
    <phoneticPr fontId="1" type="noConversion"/>
  </si>
  <si>
    <t xml:space="preserve">2-Old Style PropRat &lt; 0.70 </t>
    <phoneticPr fontId="1" type="noConversion"/>
  </si>
  <si>
    <t xml:space="preserve">3-Modern 0.70 &lt;= PropRat &lt; 0.83 </t>
    <phoneticPr fontId="1" type="noConversion"/>
  </si>
  <si>
    <t>4-Even Width 0.83 &lt;=PropRat &lt; 0.90</t>
    <phoneticPr fontId="1" type="noConversion"/>
  </si>
  <si>
    <t xml:space="preserve">5-Extended JMRat &lt; 0.78 &amp; 
0.90 &lt;= ORat &lt; 0.92 </t>
    <phoneticPr fontId="1" type="noConversion"/>
  </si>
  <si>
    <t xml:space="preserve">6-Condensed JMRat &lt; 0.78 &amp;
 1.27 &lt;= ORat &lt; 2.1 </t>
    <phoneticPr fontId="1" type="noConversion"/>
  </si>
  <si>
    <t xml:space="preserve">7-Very Extended JMRat &lt; 0.78 &amp;
 0.85 &lt;= ORat &lt; 0.90 </t>
    <phoneticPr fontId="1" type="noConversion"/>
  </si>
  <si>
    <t>O</t>
    <phoneticPr fontId="1" type="noConversion"/>
  </si>
  <si>
    <t>o</t>
    <phoneticPr fontId="1" type="noConversion"/>
  </si>
  <si>
    <t>o</t>
    <phoneticPr fontId="1" type="noConversion"/>
  </si>
  <si>
    <t>4-Even Width 0.83 &lt;=PropRat &lt; 1.10</t>
    <phoneticPr fontId="1" type="noConversion"/>
  </si>
  <si>
    <r>
      <rPr>
        <sz val="9"/>
        <color theme="1"/>
        <rFont val="돋움"/>
        <family val="3"/>
        <charset val="129"/>
      </rPr>
      <t>명조</t>
    </r>
    <r>
      <rPr>
        <sz val="9"/>
        <color theme="1"/>
        <rFont val="Arial"/>
        <family val="2"/>
      </rPr>
      <t>M</t>
    </r>
    <phoneticPr fontId="1" type="noConversion"/>
  </si>
  <si>
    <r>
      <rPr>
        <sz val="9"/>
        <color theme="1"/>
        <rFont val="돋움"/>
        <family val="3"/>
        <charset val="129"/>
      </rPr>
      <t>고딕</t>
    </r>
    <r>
      <rPr>
        <sz val="9"/>
        <color theme="1"/>
        <rFont val="Arial"/>
        <family val="2"/>
      </rPr>
      <t>M</t>
    </r>
    <phoneticPr fontId="1" type="noConversion"/>
  </si>
  <si>
    <t>Contrast</t>
  </si>
  <si>
    <t>Stroke Variation</t>
  </si>
  <si>
    <t xml:space="preserve">InCurv </t>
  </si>
  <si>
    <t>InMid / InRad</t>
  </si>
  <si>
    <t xml:space="preserve">Speed </t>
  </si>
  <si>
    <t>OutCurv / InCurv</t>
  </si>
  <si>
    <t>2-None 0.80 &lt; ConRat</t>
    <phoneticPr fontId="1" type="noConversion"/>
  </si>
  <si>
    <t>4-Low 0.48&lt; ConRat &lt;=0.65</t>
    <phoneticPr fontId="1" type="noConversion"/>
  </si>
  <si>
    <t xml:space="preserve">5-Medium Low 0.30 &lt; ConRat &lt;= 0.48
0.90 &lt;= ORat &lt; 0.92 </t>
    <phoneticPr fontId="1" type="noConversion"/>
  </si>
  <si>
    <t xml:space="preserve">6-Medium 0.20 &lt; ConRat &lt;= 0.30
 1.27 &lt;= ORat &lt; 2.1 </t>
    <phoneticPr fontId="1" type="noConversion"/>
  </si>
  <si>
    <t xml:space="preserve">7-Medium High 0.15 &lt; ConRat &lt;= 0.20
 0.85 &lt;= ORat &lt; 0.90 </t>
    <phoneticPr fontId="1" type="noConversion"/>
  </si>
  <si>
    <t>2-None 0.75 &lt; ConRat</t>
    <phoneticPr fontId="1" type="noConversion"/>
  </si>
  <si>
    <t>4-Low 0.39&lt; ConRat &lt;=0.65</t>
    <phoneticPr fontId="1" type="noConversion"/>
  </si>
  <si>
    <t>3-Very Low 0.65 &lt; ConRat &lt;= 0.80</t>
    <phoneticPr fontId="1" type="noConversion"/>
  </si>
  <si>
    <t xml:space="preserve">3-Gradual Speed &gt;= 0.96 </t>
    <phoneticPr fontId="1" type="noConversion"/>
  </si>
  <si>
    <t xml:space="preserve">4-Rapid 0.85 &lt; Speed &lt; 0.96 </t>
    <phoneticPr fontId="1" type="noConversion"/>
  </si>
  <si>
    <t xml:space="preserve">5-Instant Speed &lt;=0.85 </t>
    <phoneticPr fontId="1" type="noConversion"/>
  </si>
  <si>
    <t>2-No Variation</t>
    <phoneticPr fontId="1" type="noConversion"/>
  </si>
  <si>
    <t>3-Gradual Speed &gt;= 0.93</t>
    <phoneticPr fontId="1" type="noConversion"/>
  </si>
  <si>
    <t>4-Rapid 0.85 &lt; Speed &lt; 0.93</t>
    <phoneticPr fontId="1" type="noConversion"/>
  </si>
  <si>
    <t xml:space="preserve">한글 획 굵기 변화를 반영 못함 </t>
    <phoneticPr fontId="1" type="noConversion"/>
  </si>
  <si>
    <t>Arm Style</t>
  </si>
  <si>
    <t>ArmAHi / ArmALo</t>
  </si>
  <si>
    <t>CurvRat</t>
  </si>
  <si>
    <t xml:space="preserve">ArmCurv / CapH </t>
  </si>
  <si>
    <t>광수
명조M</t>
    <phoneticPr fontId="1" type="noConversion"/>
  </si>
  <si>
    <t xml:space="preserve">광수
명조B  </t>
    <phoneticPr fontId="1" type="noConversion"/>
  </si>
  <si>
    <t>광수
명조L</t>
    <phoneticPr fontId="1" type="noConversion"/>
  </si>
  <si>
    <t>2-Straight Arms TaperRat&gt;= 0.60 or 
CurvRat &lt; 0.02</t>
    <phoneticPr fontId="1" type="noConversion"/>
  </si>
  <si>
    <t>3-Non-Straight TaperRat &lt; 0.60 or
 CurvRat &gt;=0.02</t>
    <phoneticPr fontId="1" type="noConversion"/>
  </si>
  <si>
    <t>Letterform</t>
  </si>
  <si>
    <t xml:space="preserve">2-Contact OutCurv &lt; 0.74 </t>
    <phoneticPr fontId="1" type="noConversion"/>
  </si>
  <si>
    <t xml:space="preserve">4-Boxed 0.77 &lt; OutCurv &lt;= 0.80 </t>
    <phoneticPr fontId="1" type="noConversion"/>
  </si>
  <si>
    <t xml:space="preserve">5-Flattened 0.80 &lt; OutCurv &lt;=0.83 </t>
    <phoneticPr fontId="1" type="noConversion"/>
  </si>
  <si>
    <t xml:space="preserve">6-Rounded 0.83 &lt; OutCurv &lt;=0.95 </t>
    <phoneticPr fontId="1" type="noConversion"/>
  </si>
  <si>
    <t>7-Offcenter</t>
    <phoneticPr fontId="1" type="noConversion"/>
  </si>
  <si>
    <t>8-Square</t>
    <phoneticPr fontId="1" type="noConversion"/>
  </si>
  <si>
    <t>O</t>
    <phoneticPr fontId="1" type="noConversion"/>
  </si>
  <si>
    <t xml:space="preserve">3-Weighted  0.74 &lt;=OutCurv &lt;=0.77 </t>
    <phoneticPr fontId="1" type="noConversion"/>
  </si>
  <si>
    <t>모두 2번 형태임으로 다른 측정치를 개발하거나 , 한글글꼴 구분자로는 의미 없음</t>
    <phoneticPr fontId="1" type="noConversion"/>
  </si>
  <si>
    <t>한글 armstyle은 한글글꼴 특성을 나타내기에 의미없는 측정치</t>
    <phoneticPr fontId="1" type="noConversion"/>
  </si>
  <si>
    <t>X-height</t>
  </si>
  <si>
    <t>AAcTall / CapH</t>
  </si>
  <si>
    <t xml:space="preserve">Rat </t>
  </si>
  <si>
    <t>XTall / CapH</t>
  </si>
  <si>
    <t>2-Nemo</t>
    <phoneticPr fontId="1" type="noConversion"/>
  </si>
  <si>
    <t>3-TalNemo</t>
    <phoneticPr fontId="1" type="noConversion"/>
  </si>
  <si>
    <t>DuckRat/Rat</t>
    <phoneticPr fontId="1" type="noConversion"/>
  </si>
  <si>
    <t>Nemo</t>
    <phoneticPr fontId="1" type="noConversion"/>
  </si>
  <si>
    <t>0.9&lt;Nemo&lt;1.3</t>
    <phoneticPr fontId="1" type="noConversion"/>
  </si>
  <si>
    <t>Nemo&gt;=1.3</t>
    <phoneticPr fontId="1" type="noConversion"/>
  </si>
  <si>
    <t xml:space="preserve">11-normal </t>
    <phoneticPr fontId="1" type="noConversion"/>
  </si>
  <si>
    <t>9
HY타자M
9-AA</t>
    <phoneticPr fontId="1" type="noConversion"/>
  </si>
  <si>
    <t>TipSum / SerTip</t>
    <phoneticPr fontId="1" type="noConversion"/>
  </si>
  <si>
    <t>SerTip / SerWidL</t>
    <phoneticPr fontId="1" type="noConversion"/>
  </si>
  <si>
    <t>O</t>
    <phoneticPr fontId="1" type="noConversion"/>
  </si>
  <si>
    <t>X</t>
    <phoneticPr fontId="1" type="noConversion"/>
  </si>
  <si>
    <t>X</t>
    <phoneticPr fontId="1" type="noConversion"/>
  </si>
  <si>
    <t>O</t>
    <phoneticPr fontId="1" type="noConversion"/>
  </si>
  <si>
    <t>14-Flared</t>
    <phoneticPr fontId="1" type="noConversion"/>
  </si>
  <si>
    <t>2-Cove</t>
    <phoneticPr fontId="1" type="noConversion"/>
  </si>
  <si>
    <t>StemCor / WStem(I)</t>
    <phoneticPr fontId="1" type="noConversion"/>
  </si>
  <si>
    <t>11-Nornal</t>
    <phoneticPr fontId="1" type="noConversion"/>
  </si>
  <si>
    <t>11-Nornal</t>
    <phoneticPr fontId="1" type="noConversion"/>
  </si>
  <si>
    <r>
      <t xml:space="preserve">FootRat&lt;=1.6 &amp; </t>
    </r>
    <r>
      <rPr>
        <sz val="10"/>
        <color rgb="FFFF0000"/>
        <rFont val="Arial"/>
        <family val="2"/>
      </rPr>
      <t>TipRat&lt;0.1</t>
    </r>
    <phoneticPr fontId="1" type="noConversion"/>
  </si>
  <si>
    <t>55 맘 W/H</t>
    <phoneticPr fontId="1" type="noConversion"/>
  </si>
  <si>
    <t>HY중고
11-AE</t>
    <phoneticPr fontId="1" type="noConversion"/>
  </si>
  <si>
    <t>바른고딕
12-AG</t>
    <phoneticPr fontId="1" type="noConversion"/>
  </si>
  <si>
    <t>바른고딕
B-AH</t>
    <phoneticPr fontId="1" type="noConversion"/>
  </si>
  <si>
    <t>나눔고딕
13-AI</t>
    <phoneticPr fontId="1" type="noConversion"/>
  </si>
  <si>
    <t>나눔고딕
B-AJ</t>
    <phoneticPr fontId="1" type="noConversion"/>
  </si>
  <si>
    <t>나눔명조
14-AK</t>
    <phoneticPr fontId="1" type="noConversion"/>
  </si>
  <si>
    <t>나눔명조
B-AL</t>
    <phoneticPr fontId="1" type="noConversion"/>
  </si>
  <si>
    <t>바른펜
15-AM</t>
    <phoneticPr fontId="1" type="noConversion"/>
  </si>
  <si>
    <t>바른펜
B-AN</t>
    <phoneticPr fontId="1" type="noConversion"/>
  </si>
  <si>
    <t>바른고딕</t>
    <phoneticPr fontId="1" type="noConversion"/>
  </si>
  <si>
    <t>바른고딕
B</t>
    <phoneticPr fontId="1" type="noConversion"/>
  </si>
  <si>
    <t>나눔고딕</t>
    <phoneticPr fontId="1" type="noConversion"/>
  </si>
  <si>
    <t>나눔고딕
B</t>
    <phoneticPr fontId="1" type="noConversion"/>
  </si>
  <si>
    <t>나눔명조</t>
    <phoneticPr fontId="1" type="noConversion"/>
  </si>
  <si>
    <t>나눔명조
B</t>
    <phoneticPr fontId="1" type="noConversion"/>
  </si>
  <si>
    <t>바른펜</t>
    <phoneticPr fontId="1" type="noConversion"/>
  </si>
  <si>
    <t>바른펜
B</t>
    <phoneticPr fontId="1" type="noConversion"/>
  </si>
  <si>
    <t xml:space="preserve">4-Thin 11.5&lt;= WeightRat &lt; 13 </t>
    <phoneticPr fontId="1" type="noConversion"/>
  </si>
  <si>
    <t>5-Book 10.5 &lt;= WeightRat &lt; 11.5</t>
    <phoneticPr fontId="1" type="noConversion"/>
  </si>
  <si>
    <t>O</t>
    <phoneticPr fontId="1" type="noConversion"/>
  </si>
  <si>
    <t>6-Medium 9.0 &lt;=WeightRat &lt; 10.5</t>
    <phoneticPr fontId="1" type="noConversion"/>
  </si>
  <si>
    <t>7-Demi 6.0 &lt;=WeightRat &lt; 9.0</t>
    <phoneticPr fontId="1" type="noConversion"/>
  </si>
  <si>
    <t>8-Bold 3.5 &lt;= WeightRat &lt; 6.0</t>
    <phoneticPr fontId="1" type="noConversion"/>
  </si>
  <si>
    <t>이-Height / 아_Wstem</t>
    <phoneticPr fontId="1" type="noConversion"/>
  </si>
  <si>
    <t>4_M</t>
    <phoneticPr fontId="1" type="noConversion"/>
  </si>
  <si>
    <t>4_B</t>
    <phoneticPr fontId="1" type="noConversion"/>
  </si>
  <si>
    <t>4_L</t>
    <phoneticPr fontId="1" type="noConversion"/>
  </si>
  <si>
    <t>5_M</t>
    <phoneticPr fontId="1" type="noConversion"/>
  </si>
  <si>
    <t>5_B</t>
    <phoneticPr fontId="1" type="noConversion"/>
  </si>
  <si>
    <t>5_L</t>
    <phoneticPr fontId="1" type="noConversion"/>
  </si>
  <si>
    <t>6_M</t>
    <phoneticPr fontId="1" type="noConversion"/>
  </si>
  <si>
    <t>6_B</t>
    <phoneticPr fontId="1" type="noConversion"/>
  </si>
  <si>
    <t>6_L</t>
    <phoneticPr fontId="1" type="noConversion"/>
  </si>
  <si>
    <t xml:space="preserve">2 2 5 4 4 3 2 1 1 2 </t>
    <phoneticPr fontId="1" type="noConversion"/>
  </si>
  <si>
    <t>2 2 7 4 4 3 2 1 1 2</t>
    <phoneticPr fontId="1" type="noConversion"/>
  </si>
  <si>
    <t>2 2 3 4 4 3 2 1 1 2</t>
    <phoneticPr fontId="1" type="noConversion"/>
  </si>
  <si>
    <t xml:space="preserve">2 11 6 4 2 3 2 2 1 2 </t>
    <phoneticPr fontId="1" type="noConversion"/>
  </si>
  <si>
    <t>2 11 7 4 2 3 2 2 1 2</t>
    <phoneticPr fontId="1" type="noConversion"/>
  </si>
  <si>
    <t>2 11 3 4 2 3 2 2 1 2</t>
    <phoneticPr fontId="1" type="noConversion"/>
  </si>
  <si>
    <t>O</t>
    <phoneticPr fontId="1" type="noConversion"/>
  </si>
  <si>
    <t>1명조</t>
    <phoneticPr fontId="1" type="noConversion"/>
  </si>
  <si>
    <t>2고딕</t>
    <phoneticPr fontId="1" type="noConversion"/>
  </si>
  <si>
    <t>3명조</t>
    <phoneticPr fontId="1" type="noConversion"/>
  </si>
  <si>
    <t>4명조</t>
    <phoneticPr fontId="1" type="noConversion"/>
  </si>
  <si>
    <t>Yes</t>
    <phoneticPr fontId="1" type="noConversion"/>
  </si>
  <si>
    <t>NO</t>
    <phoneticPr fontId="1" type="noConversion"/>
  </si>
  <si>
    <t>FootRat&lt;=1.6 &amp; TipRat&lt;0.1</t>
    <phoneticPr fontId="1" type="noConversion"/>
  </si>
  <si>
    <t>FlatRat &gt;0.37 or TipRat &lt;= 0.76</t>
    <phoneticPr fontId="1" type="noConversion"/>
  </si>
  <si>
    <t>TRadAV&gt;0 &amp; SerRat&gt;0.92</t>
    <phoneticPr fontId="1" type="noConversion"/>
  </si>
  <si>
    <t>TRadAV&gt;0 &amp; SerRat&lt;=0.55 &amp; SerOb &gt; 0.27</t>
    <phoneticPr fontId="1" type="noConversion"/>
  </si>
  <si>
    <t>HipRat&lt;=0.1 &amp; StepRat&lt;=0.36</t>
    <phoneticPr fontId="1" type="noConversion"/>
  </si>
  <si>
    <t>M</t>
    <phoneticPr fontId="1" type="noConversion"/>
  </si>
  <si>
    <t>B</t>
    <phoneticPr fontId="1" type="noConversion"/>
  </si>
  <si>
    <t>L</t>
    <phoneticPr fontId="1" type="noConversion"/>
  </si>
  <si>
    <t>6-Square</t>
    <phoneticPr fontId="1" type="noConversion"/>
  </si>
  <si>
    <t>1명조</t>
    <phoneticPr fontId="1" type="noConversion"/>
  </si>
  <si>
    <t>M</t>
    <phoneticPr fontId="1" type="noConversion"/>
  </si>
  <si>
    <t>B</t>
    <phoneticPr fontId="1" type="noConversion"/>
  </si>
  <si>
    <t>L</t>
    <phoneticPr fontId="1" type="noConversion"/>
  </si>
  <si>
    <t>2고딕</t>
    <phoneticPr fontId="1" type="noConversion"/>
  </si>
  <si>
    <t>M</t>
    <phoneticPr fontId="1" type="noConversion"/>
  </si>
  <si>
    <t>L</t>
    <phoneticPr fontId="1" type="noConversion"/>
  </si>
  <si>
    <t>3명조</t>
    <phoneticPr fontId="1" type="noConversion"/>
  </si>
  <si>
    <t>O</t>
    <phoneticPr fontId="1" type="noConversion"/>
  </si>
  <si>
    <t xml:space="preserve">2 2 5 3 4 3 2 1 1 2 </t>
    <phoneticPr fontId="1" type="noConversion"/>
  </si>
  <si>
    <t>2 2 7 3 4 3 2 1 1 2</t>
    <phoneticPr fontId="1" type="noConversion"/>
  </si>
  <si>
    <t>2 2 3 3 4 3 2 1 1 2</t>
    <phoneticPr fontId="1" type="noConversion"/>
  </si>
  <si>
    <t xml:space="preserve">2 6 4 4 2 3 2 3 1 2 </t>
    <phoneticPr fontId="1" type="noConversion"/>
  </si>
  <si>
    <t>2 6 7 4 2 3 2 3 1 2</t>
    <phoneticPr fontId="1" type="noConversion"/>
  </si>
  <si>
    <t>2 6 3 4 2 3 2 3 1 2</t>
    <phoneticPr fontId="1" type="noConversion"/>
  </si>
  <si>
    <t>NO</t>
    <phoneticPr fontId="1" type="noConversion"/>
  </si>
  <si>
    <t>Midline</t>
    <phoneticPr fontId="1" type="noConversion"/>
  </si>
  <si>
    <t>PANOSE logic</t>
    <phoneticPr fontId="1" type="noConversion"/>
  </si>
  <si>
    <t>https://bugs.freedesktop.org/attachment.cgi?id=38886</t>
  </si>
  <si>
    <t>Panose number for each typrface</t>
    <phoneticPr fontId="1" type="noConversion"/>
  </si>
  <si>
    <t>Evaluating the IBM and HP/PANOSE font classification systems</t>
    <phoneticPr fontId="1" type="noConversion"/>
  </si>
  <si>
    <r>
      <t>Doyle, John R.</t>
    </r>
    <r>
      <rPr>
        <u/>
        <sz val="11"/>
        <color theme="10"/>
        <rFont val="맑은 고딕"/>
        <family val="3"/>
        <charset val="129"/>
        <scheme val="minor"/>
      </rPr>
      <t> 2005. Evaluating the IBM and HP/PANOSE font classification systems. Online Information Review 29 (5) , 468- 482</t>
    </r>
  </si>
  <si>
    <t>Practical implications – Fonts are rarely classified at the source of manufacture or distribution. To compensate for this shortcoming, software tools are required that can classify TTF files at the point of use (i.e. on one's own system) and fill in the information which is missing from the TTF files found there. Furthermore, a better classification of fonts is required, in particular one that does justice to the variety and richness of display fonts.</t>
    <phoneticPr fontId="1" type="noConversion"/>
  </si>
  <si>
    <t>The classification systems are intended to help perform font substitution, as used when (part of) a document asks to be displayed in a font that is not present on the user's computer system, in which case the next nearest font is automatically chosen.</t>
    <phoneticPr fontId="1" type="noConversion"/>
  </si>
  <si>
    <t>http://forum.high-logic.com/postedfiles/Panose.pdf</t>
  </si>
  <si>
    <t>http://www.docx4java.org/svn/docx4j/trunk/docx4j/src/main/java/org/docx4j/fonts/BestMatchingMapper.java</t>
  </si>
  <si>
    <t>panose code</t>
    <phoneticPr fontId="1" type="noConversion"/>
  </si>
  <si>
    <t>http://forum.high-logic.com/viewtopic.php?t=941</t>
    <phoneticPr fontId="1" type="noConversion"/>
  </si>
  <si>
    <t>https://www.bountysource.com/issues/24481545-write-stand-alone-fonttools-script-for-each-family-metadata-type</t>
  </si>
  <si>
    <t>http://www.w3.org/TR/2002/WD-css3-webfonts-20020802/</t>
  </si>
  <si>
    <t>W3C CSS3 web font 규격</t>
    <phoneticPr fontId="1" type="noConversion"/>
  </si>
  <si>
    <t>한글문자선택</t>
    <phoneticPr fontId="1" type="noConversion"/>
  </si>
  <si>
    <t>한글문자 선택</t>
    <phoneticPr fontId="1" type="noConversion"/>
  </si>
  <si>
    <t>기준선과 중앙선 구분</t>
    <phoneticPr fontId="1" type="noConversion"/>
  </si>
  <si>
    <t>질감, 장식</t>
    <phoneticPr fontId="1" type="noConversion"/>
  </si>
  <si>
    <t>Finials</t>
    <phoneticPr fontId="1" type="noConversion"/>
  </si>
  <si>
    <t>Form</t>
    <phoneticPr fontId="1" type="noConversion"/>
  </si>
  <si>
    <t>Treatment</t>
    <phoneticPr fontId="1" type="noConversion"/>
  </si>
  <si>
    <t>1. Family Kind The Family Kind digit is used to trigger additional, as yet undeveloped, extensions to the PANOSE classification system. In the current incarnation of PANOSE a large amount of information is stored for text and display faces for the purposes of font matching and replacement. Script and decorative fonts receive little classification, but enough to separate them from the text and display faces as well as from each other.</t>
    <phoneticPr fontId="1" type="noConversion"/>
  </si>
  <si>
    <t>2. Serif Style This digit describes the appearance of the serifs used in a font design and groups them into one of 14 general categories. Serif and sans serif faces are classified within this digit.</t>
    <phoneticPr fontId="1" type="noConversion"/>
  </si>
  <si>
    <t>3. Weight The Weight digit classifies the appearance of a font's stem thickness in relation to its height. It offers ten gradations, ranging from Very Light to Extra Black.</t>
    <phoneticPr fontId="1" type="noConversion"/>
  </si>
  <si>
    <t>4. Proportion The Proportion digit describes the relative proportions of the characters in the font. Distinguishes Monospaced from Proportional, Modern from Old Style, and Extended from Condensed.</t>
    <phoneticPr fontId="1" type="noConversion"/>
  </si>
  <si>
    <t>5. Contrast The Contrast digit describes the ratio between the thickest and narrowest points on the letter 'O.' The uppercase 'O' is used because it is generally of higher contrast than the other characters of the alphabet.</t>
    <phoneticPr fontId="1" type="noConversion"/>
  </si>
  <si>
    <t>6. Stroke Variation The Stroke Variation digit further details the contrast trait by describing the kind of transition that occurs as the stem thickness changes on rounded glyph shapes.</t>
    <phoneticPr fontId="1" type="noConversion"/>
  </si>
  <si>
    <t>7. Arm Style The Arm Style digit describes diagonal stems and the termination of open rounded letterforms. The uppercase 'A' and 'C,' along with other relevant characters, are used for this classification.</t>
    <phoneticPr fontId="1" type="noConversion"/>
  </si>
  <si>
    <t>8. Letterform The Letterform digit differentiates between normal and oblique fonts and describes the roundness of the character shapes.</t>
    <phoneticPr fontId="1" type="noConversion"/>
  </si>
  <si>
    <t>9. Midline The Midline digit describes the placement of the midline and the treatment of diagonal stem apexes.</t>
    <phoneticPr fontId="1" type="noConversion"/>
  </si>
  <si>
    <t>10. X-height The X-height digit describes the relative height of lowercase characters and the treatment of uppercase glyphs with diacritical marks.</t>
    <phoneticPr fontId="1" type="noConversion"/>
  </si>
  <si>
    <t>가로/세로 획 대비</t>
    <phoneticPr fontId="1" type="noConversion"/>
  </si>
  <si>
    <t>NarO / WideO</t>
    <phoneticPr fontId="1" type="noConversion"/>
  </si>
  <si>
    <t>획 변화율</t>
    <phoneticPr fontId="1" type="noConversion"/>
  </si>
  <si>
    <t xml:space="preserve">6-Medium 0.20 &lt; ConRat &lt;= 0.30,  1.27 &lt;= ORat &lt; 2.1 </t>
    <phoneticPr fontId="1" type="noConversion"/>
  </si>
  <si>
    <t xml:space="preserve">5-Medium Low 0.30 &lt; ConRat &lt;= 0.48, 0.90 &lt;= ORat &lt; 0.92 </t>
    <phoneticPr fontId="1" type="noConversion"/>
  </si>
  <si>
    <t xml:space="preserve">7-Medium High 0.15 &lt; ConRat &lt;= 0.20,  0.85 &lt;= ORat &lt; 0.90 </t>
    <phoneticPr fontId="1" type="noConversion"/>
  </si>
  <si>
    <t>M</t>
    <phoneticPr fontId="1" type="noConversion"/>
  </si>
  <si>
    <t>B</t>
    <phoneticPr fontId="1" type="noConversion"/>
  </si>
  <si>
    <t>1손글씨</t>
    <phoneticPr fontId="1" type="noConversion"/>
  </si>
  <si>
    <t>2명조</t>
    <phoneticPr fontId="1" type="noConversion"/>
  </si>
  <si>
    <t>M</t>
    <phoneticPr fontId="1" type="noConversion"/>
  </si>
  <si>
    <t xml:space="preserve">B  </t>
    <phoneticPr fontId="1" type="noConversion"/>
  </si>
  <si>
    <t>L</t>
    <phoneticPr fontId="1" type="noConversion"/>
  </si>
  <si>
    <t>스페이스</t>
    <phoneticPr fontId="1" type="noConversion"/>
  </si>
  <si>
    <t>뽀리</t>
    <phoneticPr fontId="1" type="noConversion"/>
  </si>
  <si>
    <t>광수뽀리</t>
    <phoneticPr fontId="1" type="noConversion"/>
  </si>
  <si>
    <t>x</t>
    <phoneticPr fontId="1" type="noConversion"/>
  </si>
  <si>
    <t>X</t>
    <phoneticPr fontId="1" type="noConversion"/>
  </si>
  <si>
    <t>O</t>
    <phoneticPr fontId="1" type="noConversion"/>
  </si>
  <si>
    <t>8-Oval</t>
    <phoneticPr fontId="1" type="noConversion"/>
  </si>
  <si>
    <t>9-Exaggerated</t>
  </si>
  <si>
    <t>9-Exaggerated</t>
    <phoneticPr fontId="1" type="noConversion"/>
  </si>
  <si>
    <t>13-Prependicular</t>
  </si>
  <si>
    <t>13-Prependicular</t>
    <phoneticPr fontId="1" type="noConversion"/>
  </si>
  <si>
    <t>3</t>
    <phoneticPr fontId="1" type="noConversion"/>
  </si>
  <si>
    <t>5</t>
    <phoneticPr fontId="1" type="noConversion"/>
  </si>
  <si>
    <t>6</t>
    <phoneticPr fontId="1" type="noConversion"/>
  </si>
  <si>
    <t>7</t>
    <phoneticPr fontId="1" type="noConversion"/>
  </si>
  <si>
    <t>8</t>
    <phoneticPr fontId="1" type="noConversion"/>
  </si>
  <si>
    <r>
      <rPr>
        <sz val="9"/>
        <rFont val="돋움"/>
        <family val="3"/>
        <charset val="129"/>
      </rPr>
      <t>명조</t>
    </r>
    <r>
      <rPr>
        <sz val="9"/>
        <rFont val="Arial"/>
        <family val="2"/>
      </rPr>
      <t>M</t>
    </r>
    <phoneticPr fontId="1" type="noConversion"/>
  </si>
  <si>
    <r>
      <rPr>
        <sz val="9"/>
        <rFont val="돋움"/>
        <family val="3"/>
        <charset val="129"/>
      </rPr>
      <t>고딕</t>
    </r>
    <r>
      <rPr>
        <sz val="9"/>
        <rFont val="Arial"/>
        <family val="2"/>
      </rPr>
      <t>M</t>
    </r>
    <phoneticPr fontId="1" type="noConversion"/>
  </si>
  <si>
    <r>
      <rPr>
        <sz val="9"/>
        <rFont val="맑은 고딕"/>
        <family val="2"/>
        <charset val="129"/>
      </rPr>
      <t>아침</t>
    </r>
    <r>
      <rPr>
        <sz val="9"/>
        <rFont val="Arial"/>
        <family val="2"/>
      </rPr>
      <t>M</t>
    </r>
    <phoneticPr fontId="1" type="noConversion"/>
  </si>
  <si>
    <r>
      <rPr>
        <sz val="9"/>
        <rFont val="맑은 고딕"/>
        <family val="2"/>
        <charset val="129"/>
      </rPr>
      <t>천년</t>
    </r>
    <r>
      <rPr>
        <sz val="9"/>
        <rFont val="Arial"/>
        <family val="2"/>
      </rPr>
      <t>M</t>
    </r>
    <phoneticPr fontId="1" type="noConversion"/>
  </si>
  <si>
    <r>
      <rPr>
        <sz val="9"/>
        <rFont val="맑은 고딕"/>
        <family val="2"/>
        <charset val="129"/>
      </rPr>
      <t>다나</t>
    </r>
    <r>
      <rPr>
        <sz val="9"/>
        <rFont val="Arial"/>
        <family val="2"/>
      </rPr>
      <t>M</t>
    </r>
    <phoneticPr fontId="1" type="noConversion"/>
  </si>
  <si>
    <r>
      <rPr>
        <sz val="9"/>
        <rFont val="맑은 고딕"/>
        <family val="2"/>
        <charset val="129"/>
      </rPr>
      <t>상아</t>
    </r>
    <r>
      <rPr>
        <sz val="9"/>
        <rFont val="Arial"/>
        <family val="2"/>
      </rPr>
      <t>M</t>
    </r>
    <phoneticPr fontId="1" type="noConversion"/>
  </si>
  <si>
    <r>
      <rPr>
        <sz val="9"/>
        <rFont val="맑은 고딕"/>
        <family val="2"/>
        <charset val="129"/>
      </rPr>
      <t>이야기</t>
    </r>
    <r>
      <rPr>
        <sz val="9"/>
        <rFont val="Arial"/>
        <family val="2"/>
      </rPr>
      <t>M</t>
    </r>
    <phoneticPr fontId="1" type="noConversion"/>
  </si>
  <si>
    <r>
      <rPr>
        <sz val="9"/>
        <rFont val="돋움"/>
        <family val="3"/>
        <charset val="129"/>
      </rPr>
      <t>스페이스</t>
    </r>
    <phoneticPr fontId="1" type="noConversion"/>
  </si>
  <si>
    <r>
      <rPr>
        <sz val="9"/>
        <rFont val="돋움"/>
        <family val="3"/>
        <charset val="129"/>
      </rPr>
      <t>뽀리</t>
    </r>
    <phoneticPr fontId="1" type="noConversion"/>
  </si>
  <si>
    <t>X</t>
    <phoneticPr fontId="1" type="noConversion"/>
  </si>
  <si>
    <t>X</t>
    <phoneticPr fontId="1" type="noConversion"/>
  </si>
  <si>
    <t>p1-x</t>
    <phoneticPr fontId="1" type="noConversion"/>
  </si>
  <si>
    <t>p2-x</t>
    <phoneticPr fontId="1" type="noConversion"/>
  </si>
  <si>
    <t>p3-x</t>
    <phoneticPr fontId="1" type="noConversion"/>
  </si>
  <si>
    <t>p4-x</t>
    <phoneticPr fontId="1" type="noConversion"/>
  </si>
  <si>
    <t>p5-x</t>
    <phoneticPr fontId="1" type="noConversion"/>
  </si>
  <si>
    <t>p6-x</t>
    <phoneticPr fontId="1" type="noConversion"/>
  </si>
  <si>
    <t>p7-x</t>
    <phoneticPr fontId="1" type="noConversion"/>
  </si>
  <si>
    <t>p1-y</t>
    <phoneticPr fontId="1" type="noConversion"/>
  </si>
  <si>
    <t>p2-y</t>
    <phoneticPr fontId="1" type="noConversion"/>
  </si>
  <si>
    <t>p3-y</t>
    <phoneticPr fontId="1" type="noConversion"/>
  </si>
  <si>
    <t>p4-y</t>
    <phoneticPr fontId="1" type="noConversion"/>
  </si>
  <si>
    <t>p5-y</t>
    <phoneticPr fontId="1" type="noConversion"/>
  </si>
  <si>
    <t>p6-y</t>
    <phoneticPr fontId="1" type="noConversion"/>
  </si>
  <si>
    <t>p7-y</t>
    <phoneticPr fontId="1" type="noConversion"/>
  </si>
  <si>
    <t>TRadAV&gt;0</t>
    <phoneticPr fontId="1" type="noConversion"/>
  </si>
  <si>
    <t>C</t>
    <phoneticPr fontId="1" type="noConversion"/>
  </si>
  <si>
    <t>L</t>
    <phoneticPr fontId="1" type="noConversion"/>
  </si>
  <si>
    <t>p3 C/L</t>
    <phoneticPr fontId="1" type="noConversion"/>
  </si>
  <si>
    <t>u-x</t>
    <phoneticPr fontId="1" type="noConversion"/>
  </si>
  <si>
    <t>u-y</t>
    <phoneticPr fontId="1" type="noConversion"/>
  </si>
  <si>
    <t>v-x</t>
    <phoneticPr fontId="1" type="noConversion"/>
  </si>
  <si>
    <t>v-y</t>
    <phoneticPr fontId="1" type="noConversion"/>
  </si>
  <si>
    <t>p3-angle</t>
    <phoneticPr fontId="1" type="noConversion"/>
  </si>
  <si>
    <t>u*v</t>
    <phoneticPr fontId="1" type="noConversion"/>
  </si>
  <si>
    <t>\u\\v\</t>
    <phoneticPr fontId="1" type="noConversion"/>
  </si>
  <si>
    <t>나눔고딕</t>
    <phoneticPr fontId="1" type="noConversion"/>
  </si>
  <si>
    <r>
      <t>HY</t>
    </r>
    <r>
      <rPr>
        <sz val="9"/>
        <rFont val="돋움"/>
        <family val="3"/>
        <charset val="129"/>
      </rPr>
      <t>태고</t>
    </r>
    <phoneticPr fontId="1" type="noConversion"/>
  </si>
  <si>
    <t>x</t>
    <phoneticPr fontId="1" type="noConversion"/>
  </si>
  <si>
    <t>O</t>
    <phoneticPr fontId="1" type="noConversion"/>
  </si>
  <si>
    <t>X</t>
    <phoneticPr fontId="1" type="noConversion"/>
  </si>
  <si>
    <t>10</t>
    <phoneticPr fontId="1" type="noConversion"/>
  </si>
  <si>
    <t>11</t>
    <phoneticPr fontId="1" type="noConversion"/>
  </si>
  <si>
    <t>C</t>
    <phoneticPr fontId="1" type="noConversion"/>
  </si>
  <si>
    <t>p4-l-x</t>
    <phoneticPr fontId="1" type="noConversion"/>
  </si>
  <si>
    <t>p4-l-y</t>
    <phoneticPr fontId="1" type="noConversion"/>
  </si>
  <si>
    <t>p2-l-x</t>
    <phoneticPr fontId="1" type="noConversion"/>
  </si>
  <si>
    <t>p2-l-y</t>
    <phoneticPr fontId="1" type="noConversion"/>
  </si>
  <si>
    <t>controlpointx &lt;= p3-x</t>
    <phoneticPr fontId="1" type="noConversion"/>
  </si>
  <si>
    <t>&amp;&amp; p3 curve</t>
    <phoneticPr fontId="1" type="noConversion"/>
  </si>
  <si>
    <t>controlpoint-x &gt; p3-x</t>
    <phoneticPr fontId="1" type="noConversion"/>
  </si>
  <si>
    <t>LC</t>
    <phoneticPr fontId="1" type="noConversion"/>
  </si>
  <si>
    <t>p2 line, p2-l == p2</t>
    <phoneticPr fontId="1" type="noConversion"/>
  </si>
  <si>
    <t>p4 line, p4-l == p4</t>
    <phoneticPr fontId="1" type="noConversion"/>
  </si>
  <si>
    <t>L</t>
    <phoneticPr fontId="1" type="noConversion"/>
  </si>
  <si>
    <t>X</t>
    <phoneticPr fontId="1" type="noConversion"/>
  </si>
  <si>
    <t>X</t>
    <phoneticPr fontId="1" type="noConversion"/>
  </si>
  <si>
    <t>X</t>
    <phoneticPr fontId="1" type="noConversion"/>
  </si>
  <si>
    <t>X</t>
    <phoneticPr fontId="1" type="noConversion"/>
  </si>
  <si>
    <t>L</t>
    <phoneticPr fontId="1" type="noConversion"/>
  </si>
  <si>
    <t>민부리</t>
    <phoneticPr fontId="1" type="noConversion"/>
  </si>
  <si>
    <t>O</t>
    <phoneticPr fontId="1" type="noConversion"/>
  </si>
  <si>
    <t>부리</t>
    <phoneticPr fontId="1" type="noConversion"/>
  </si>
  <si>
    <r>
      <t>11.</t>
    </r>
    <r>
      <rPr>
        <sz val="9"/>
        <rFont val="돋움"/>
        <family val="3"/>
        <charset val="129"/>
      </rPr>
      <t>풍선부리</t>
    </r>
    <phoneticPr fontId="1" type="noConversion"/>
  </si>
  <si>
    <r>
      <t xml:space="preserve">2 </t>
    </r>
    <r>
      <rPr>
        <sz val="9"/>
        <color theme="1"/>
        <rFont val="돋움"/>
        <family val="3"/>
        <charset val="129"/>
      </rPr>
      <t>부리</t>
    </r>
    <phoneticPr fontId="1" type="noConversion"/>
  </si>
  <si>
    <t>p3_y == p4_y</t>
  </si>
  <si>
    <t>p3!=Curve</t>
    <phoneticPr fontId="1" type="noConversion"/>
  </si>
  <si>
    <r>
      <t>2.</t>
    </r>
    <r>
      <rPr>
        <sz val="9"/>
        <rFont val="돋움"/>
        <family val="3"/>
        <charset val="129"/>
      </rPr>
      <t>각진부리</t>
    </r>
    <phoneticPr fontId="1" type="noConversion"/>
  </si>
  <si>
    <t>p3==Curve</t>
    <phoneticPr fontId="1" type="noConversion"/>
  </si>
  <si>
    <t>130 &gt; p3-angle &gt;= 90</t>
    <phoneticPr fontId="1" type="noConversion"/>
  </si>
  <si>
    <r>
      <t>4.</t>
    </r>
    <r>
      <rPr>
        <sz val="9"/>
        <rFont val="돋움"/>
        <family val="3"/>
        <charset val="129"/>
      </rPr>
      <t>둥근부리</t>
    </r>
    <phoneticPr fontId="1" type="noConversion"/>
  </si>
  <si>
    <t>X</t>
    <phoneticPr fontId="1" type="noConversion"/>
  </si>
  <si>
    <t>90 &gt; p3-angle &gt;= 45</t>
    <phoneticPr fontId="1" type="noConversion"/>
  </si>
  <si>
    <r>
      <t>1.</t>
    </r>
    <r>
      <rPr>
        <sz val="9"/>
        <rFont val="돋움"/>
        <family val="3"/>
        <charset val="129"/>
      </rPr>
      <t>전통부리</t>
    </r>
    <phoneticPr fontId="1" type="noConversion"/>
  </si>
  <si>
    <t>X</t>
    <phoneticPr fontId="1" type="noConversion"/>
  </si>
  <si>
    <r>
      <t>5.</t>
    </r>
    <r>
      <rPr>
        <sz val="9"/>
        <rFont val="돋움"/>
        <family val="3"/>
        <charset val="129"/>
      </rPr>
      <t>응용부리</t>
    </r>
    <phoneticPr fontId="1" type="noConversion"/>
  </si>
  <si>
    <t>31</t>
    <phoneticPr fontId="1" type="noConversion"/>
  </si>
  <si>
    <t>311</t>
    <phoneticPr fontId="1" type="noConversion"/>
  </si>
  <si>
    <r>
      <t xml:space="preserve">3 </t>
    </r>
    <r>
      <rPr>
        <sz val="9"/>
        <color theme="1"/>
        <rFont val="돋움"/>
        <family val="3"/>
        <charset val="129"/>
      </rPr>
      <t>민부리</t>
    </r>
    <phoneticPr fontId="1" type="noConversion"/>
  </si>
  <si>
    <t>O</t>
    <phoneticPr fontId="1" type="noConversion"/>
  </si>
  <si>
    <t>X</t>
    <phoneticPr fontId="1" type="noConversion"/>
  </si>
  <si>
    <t>O</t>
    <phoneticPr fontId="1" type="noConversion"/>
  </si>
  <si>
    <r>
      <t>7.</t>
    </r>
    <r>
      <rPr>
        <sz val="9"/>
        <color theme="1"/>
        <rFont val="돋움"/>
        <family val="3"/>
        <charset val="129"/>
      </rPr>
      <t>각진민부리</t>
    </r>
    <phoneticPr fontId="1" type="noConversion"/>
  </si>
  <si>
    <t>312</t>
    <phoneticPr fontId="1" type="noConversion"/>
  </si>
  <si>
    <t>p3 != c &amp;&amp; p4 != c</t>
    <phoneticPr fontId="1" type="noConversion"/>
  </si>
  <si>
    <t>p3 == c &amp;&amp; p4 == c</t>
    <phoneticPr fontId="1" type="noConversion"/>
  </si>
  <si>
    <r>
      <t>9.</t>
    </r>
    <r>
      <rPr>
        <sz val="9"/>
        <color theme="1"/>
        <rFont val="돋움"/>
        <family val="3"/>
        <charset val="129"/>
      </rPr>
      <t>둥근민부리</t>
    </r>
    <phoneticPr fontId="1" type="noConversion"/>
  </si>
  <si>
    <t>313</t>
    <phoneticPr fontId="1" type="noConversion"/>
  </si>
  <si>
    <r>
      <rPr>
        <sz val="9"/>
        <color theme="1"/>
        <rFont val="돋움"/>
        <family val="3"/>
        <charset val="129"/>
      </rPr>
      <t>△</t>
    </r>
    <r>
      <rPr>
        <sz val="9"/>
        <color theme="1"/>
        <rFont val="Arial"/>
        <family val="2"/>
      </rPr>
      <t>x1</t>
    </r>
    <phoneticPr fontId="1" type="noConversion"/>
  </si>
  <si>
    <r>
      <rPr>
        <sz val="9"/>
        <color theme="1"/>
        <rFont val="돋움"/>
        <family val="3"/>
        <charset val="129"/>
      </rPr>
      <t>△</t>
    </r>
    <r>
      <rPr>
        <sz val="9"/>
        <color theme="1"/>
        <rFont val="Arial"/>
        <family val="2"/>
      </rPr>
      <t>x2</t>
    </r>
    <phoneticPr fontId="1" type="noConversion"/>
  </si>
  <si>
    <r>
      <rPr>
        <sz val="9"/>
        <color theme="1"/>
        <rFont val="돋움"/>
        <family val="3"/>
        <charset val="129"/>
      </rPr>
      <t>△</t>
    </r>
    <r>
      <rPr>
        <sz val="9"/>
        <color theme="1"/>
        <rFont val="Arial"/>
        <family val="2"/>
      </rPr>
      <t>x3</t>
    </r>
    <phoneticPr fontId="1" type="noConversion"/>
  </si>
  <si>
    <r>
      <rPr>
        <sz val="9"/>
        <rFont val="돋움"/>
        <family val="3"/>
        <charset val="129"/>
      </rPr>
      <t>최대</t>
    </r>
    <r>
      <rPr>
        <sz val="9"/>
        <rFont val="Arial"/>
        <family val="2"/>
      </rPr>
      <t xml:space="preserve"> Y </t>
    </r>
    <r>
      <rPr>
        <sz val="9"/>
        <rFont val="돋움"/>
        <family val="3"/>
        <charset val="129"/>
      </rPr>
      <t>포인트개수</t>
    </r>
    <r>
      <rPr>
        <sz val="9"/>
        <rFont val="Arial"/>
        <family val="2"/>
      </rPr>
      <t xml:space="preserve"> == 2</t>
    </r>
    <phoneticPr fontId="1" type="noConversion"/>
  </si>
  <si>
    <r>
      <t>6.</t>
    </r>
    <r>
      <rPr>
        <sz val="9"/>
        <color theme="1"/>
        <rFont val="돋움"/>
        <family val="3"/>
        <charset val="129"/>
      </rPr>
      <t>전통민부리</t>
    </r>
    <phoneticPr fontId="1" type="noConversion"/>
  </si>
  <si>
    <t>N</t>
    <phoneticPr fontId="1" type="noConversion"/>
  </si>
  <si>
    <t xml:space="preserve"> p(N-1) == c</t>
    <phoneticPr fontId="1" type="noConversion"/>
  </si>
  <si>
    <r>
      <rPr>
        <sz val="9"/>
        <rFont val="돋움"/>
        <family val="3"/>
        <charset val="129"/>
      </rPr>
      <t>최대</t>
    </r>
    <r>
      <rPr>
        <sz val="9"/>
        <rFont val="Arial"/>
        <family val="2"/>
      </rPr>
      <t xml:space="preserve"> Y </t>
    </r>
    <r>
      <rPr>
        <sz val="9"/>
        <rFont val="돋움"/>
        <family val="3"/>
        <charset val="129"/>
      </rPr>
      <t>포인트개수</t>
    </r>
    <r>
      <rPr>
        <sz val="9"/>
        <rFont val="Arial"/>
        <family val="2"/>
      </rPr>
      <t xml:space="preserve"> != 2</t>
    </r>
    <phoneticPr fontId="1" type="noConversion"/>
  </si>
  <si>
    <t>O</t>
    <phoneticPr fontId="1" type="noConversion"/>
  </si>
  <si>
    <r>
      <t>10.</t>
    </r>
    <r>
      <rPr>
        <sz val="9"/>
        <rFont val="돋움"/>
        <family val="3"/>
        <charset val="129"/>
      </rPr>
      <t>응용민부리</t>
    </r>
    <phoneticPr fontId="1" type="noConversion"/>
  </si>
  <si>
    <t>x</t>
    <phoneticPr fontId="1" type="noConversion"/>
  </si>
  <si>
    <t>5-Obtuse Square Cove</t>
    <phoneticPr fontId="1" type="noConversion"/>
  </si>
  <si>
    <t>PANOSE</t>
  </si>
  <si>
    <t>PANOSE</t>
    <phoneticPr fontId="1" type="noConversion"/>
  </si>
  <si>
    <t>OURs</t>
  </si>
  <si>
    <t>OURs</t>
    <phoneticPr fontId="1" type="noConversion"/>
  </si>
  <si>
    <t>Sandoll Myeongjo</t>
  </si>
  <si>
    <t>SM Myeongjo</t>
  </si>
  <si>
    <t>Nanum Myeongjo</t>
  </si>
  <si>
    <t>HY Myeongjo</t>
  </si>
  <si>
    <t>Yungothic</t>
  </si>
  <si>
    <t>Seegothic</t>
  </si>
  <si>
    <t>Sandoll gothic</t>
  </si>
  <si>
    <t>Rix Bright Gothic</t>
  </si>
  <si>
    <t>Cheon-nyeon</t>
  </si>
  <si>
    <t>Dana</t>
  </si>
  <si>
    <t>Achim</t>
  </si>
  <si>
    <t>Iyagi</t>
  </si>
  <si>
    <t>Gwangsu Myeongjo</t>
  </si>
  <si>
    <t>Taja</t>
  </si>
  <si>
    <r>
      <t>N</t>
    </r>
    <r>
      <rPr>
        <u/>
        <sz val="10"/>
        <color rgb="FF008080"/>
        <rFont val="Times New Roman"/>
        <family val="1"/>
      </rPr>
      <t>a</t>
    </r>
    <r>
      <rPr>
        <sz val="10"/>
        <color rgb="FF000000"/>
        <rFont val="Times New Roman"/>
        <family val="1"/>
      </rPr>
      <t>num Son Geulssi pen</t>
    </r>
  </si>
  <si>
    <t>Means within and between each group for the font distance values</t>
    <phoneticPr fontId="1" type="noConversion"/>
  </si>
  <si>
    <t>Myeongjo</t>
    <phoneticPr fontId="1" type="noConversion"/>
  </si>
  <si>
    <t>Gothic</t>
    <phoneticPr fontId="1" type="noConversion"/>
  </si>
  <si>
    <t>Non-square</t>
    <phoneticPr fontId="1" type="noConversion"/>
  </si>
  <si>
    <t>1,2,3,4</t>
    <phoneticPr fontId="1" type="noConversion"/>
  </si>
  <si>
    <t>5,6,7,8,</t>
    <phoneticPr fontId="1" type="noConversion"/>
  </si>
  <si>
    <t>합계</t>
    <phoneticPr fontId="1" type="noConversion"/>
  </si>
  <si>
    <t>평균</t>
    <phoneticPr fontId="1" type="noConversion"/>
  </si>
  <si>
    <t>누계</t>
    <phoneticPr fontId="1" type="noConversion"/>
  </si>
  <si>
    <t>개수</t>
    <phoneticPr fontId="1" type="noConversion"/>
  </si>
  <si>
    <t>Monan Buri</t>
    <phoneticPr fontId="1" type="noConversion"/>
  </si>
  <si>
    <t>9,10,11,12</t>
  </si>
  <si>
    <t>Nanum Son Geulssi pen</t>
  </si>
  <si>
    <t>1,2,3,4,5,6,7,8,11,15</t>
    <phoneticPr fontId="1" type="noConversion"/>
  </si>
  <si>
    <t>8,13,15</t>
    <phoneticPr fontId="1" type="noConversion"/>
  </si>
  <si>
    <t>Border decoration</t>
    <phoneticPr fontId="1" type="noConversion"/>
  </si>
  <si>
    <t>WITHIN</t>
    <phoneticPr fontId="1" type="noConversion"/>
  </si>
  <si>
    <t>BETWEEN</t>
    <phoneticPr fontId="1" type="noConversion"/>
  </si>
  <si>
    <t>Monan-buri</t>
    <phoneticPr fontId="1" type="noConversion"/>
  </si>
  <si>
    <t>Non-square</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</si>
</sst>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76" formatCode="0.00_);[Red]\(0.00\)"/>
    <numFmt numFmtId="177" formatCode="0.000_ "/>
    <numFmt numFmtId="178" formatCode="0.00_ "/>
    <numFmt numFmtId="179" formatCode="#,##0.00_ "/>
    <numFmt numFmtId="180" formatCode="#,##0.000_ "/>
    <numFmt numFmtId="181" formatCode="0.0000_ "/>
  </numFmts>
  <fonts count="52" x14ac:knownFonts="1">
    <font>
      <sz val="11"/>
      <color theme="1"/>
      <name val="맑은 고딕"/>
      <family val="2"/>
      <charset val="129"/>
      <scheme val="minor"/>
    </font>
    <font>
      <sz val="8"/>
      <name val="맑은 고딕"/>
      <family val="2"/>
      <charset val="129"/>
      <scheme val="minor"/>
    </font>
    <font>
      <sz val="11"/>
      <color theme="1"/>
      <name val="맑은 고딕"/>
      <family val="3"/>
      <charset val="129"/>
      <scheme val="minor"/>
    </font>
    <font>
      <sz val="10"/>
      <color theme="1"/>
      <name val="맑은 고딕"/>
      <family val="3"/>
      <charset val="129"/>
      <scheme val="minor"/>
    </font>
    <font>
      <b/>
      <sz val="11"/>
      <color theme="1"/>
      <name val="맑은 고딕"/>
      <family val="3"/>
      <charset val="129"/>
      <scheme val="minor"/>
    </font>
    <font>
      <sz val="9"/>
      <color rgb="FF3A393D"/>
      <name val="Arial"/>
      <family val="2"/>
    </font>
    <font>
      <sz val="11"/>
      <color theme="0" tint="-0.499984740745262"/>
      <name val="맑은 고딕"/>
      <family val="3"/>
      <charset val="129"/>
      <scheme val="minor"/>
    </font>
    <font>
      <sz val="9"/>
      <color theme="0" tint="-0.499984740745262"/>
      <name val="Arial"/>
      <family val="2"/>
    </font>
    <font>
      <sz val="10"/>
      <color theme="0" tint="-0.499984740745262"/>
      <name val="맑은 고딕"/>
      <family val="3"/>
      <charset val="129"/>
      <scheme val="minor"/>
    </font>
    <font>
      <sz val="9"/>
      <color theme="1"/>
      <name val="맑은 고딕"/>
      <family val="3"/>
      <charset val="129"/>
      <scheme val="minor"/>
    </font>
    <font>
      <sz val="11"/>
      <color rgb="FF3A393D"/>
      <name val="Arial"/>
      <family val="2"/>
    </font>
    <font>
      <sz val="9"/>
      <color theme="1"/>
      <name val="맑은 고딕"/>
      <family val="2"/>
      <charset val="129"/>
      <scheme val="minor"/>
    </font>
    <font>
      <b/>
      <sz val="11"/>
      <color rgb="FF3A393D"/>
      <name val="Arial"/>
      <family val="2"/>
    </font>
    <font>
      <sz val="9"/>
      <color theme="1" tint="0.499984740745262"/>
      <name val="맑은 고딕"/>
      <family val="3"/>
      <charset val="129"/>
      <scheme val="minor"/>
    </font>
    <font>
      <sz val="10"/>
      <color theme="1"/>
      <name val="Arial"/>
      <family val="2"/>
    </font>
    <font>
      <sz val="10"/>
      <name val="Arial"/>
      <family val="2"/>
    </font>
    <font>
      <sz val="12"/>
      <color rgb="FF000000"/>
      <name val="맑은 고딕"/>
      <family val="3"/>
      <charset val="129"/>
      <scheme val="minor"/>
    </font>
    <font>
      <sz val="11"/>
      <color rgb="FFFF0000"/>
      <name val="맑은 고딕"/>
      <family val="2"/>
      <charset val="129"/>
      <scheme val="minor"/>
    </font>
    <font>
      <sz val="10"/>
      <color theme="1"/>
      <name val="돋움"/>
      <family val="3"/>
      <charset val="129"/>
    </font>
    <font>
      <sz val="11"/>
      <color rgb="FFFF0000"/>
      <name val="맑은 고딕"/>
      <family val="3"/>
      <charset val="129"/>
      <scheme val="minor"/>
    </font>
    <font>
      <sz val="10"/>
      <color theme="1"/>
      <name val="맑은 고딕"/>
      <family val="2"/>
      <charset val="129"/>
      <scheme val="minor"/>
    </font>
    <font>
      <sz val="11"/>
      <name val="맑은 고딕"/>
      <family val="2"/>
      <charset val="129"/>
      <scheme val="minor"/>
    </font>
    <font>
      <sz val="10"/>
      <color rgb="FFFF0000"/>
      <name val="Arial"/>
      <family val="2"/>
    </font>
    <font>
      <sz val="9"/>
      <color theme="1"/>
      <name val="Arial"/>
      <family val="2"/>
    </font>
    <font>
      <sz val="9"/>
      <color theme="1"/>
      <name val="돋움"/>
      <family val="3"/>
      <charset val="129"/>
    </font>
    <font>
      <sz val="9"/>
      <color rgb="FFFF0000"/>
      <name val="맑은 고딕"/>
      <family val="2"/>
      <charset val="129"/>
      <scheme val="minor"/>
    </font>
    <font>
      <sz val="9"/>
      <color rgb="FFFF0000"/>
      <name val="맑은 고딕"/>
      <family val="3"/>
      <charset val="129"/>
      <scheme val="minor"/>
    </font>
    <font>
      <sz val="9"/>
      <color rgb="FFFF0000"/>
      <name val="Arial"/>
      <family val="2"/>
    </font>
    <font>
      <b/>
      <sz val="9"/>
      <color theme="1"/>
      <name val="맑은 고딕"/>
      <family val="3"/>
      <charset val="129"/>
      <scheme val="minor"/>
    </font>
    <font>
      <b/>
      <sz val="10"/>
      <name val="Arial"/>
      <family val="2"/>
    </font>
    <font>
      <sz val="9"/>
      <name val="맑은 고딕"/>
      <family val="2"/>
      <charset val="129"/>
      <scheme val="minor"/>
    </font>
    <font>
      <sz val="9"/>
      <name val="Arial"/>
      <family val="2"/>
    </font>
    <font>
      <sz val="11"/>
      <name val="Times New Roman"/>
      <family val="1"/>
    </font>
    <font>
      <sz val="10"/>
      <name val="맑은 고딕"/>
      <family val="2"/>
      <charset val="129"/>
      <scheme val="minor"/>
    </font>
    <font>
      <b/>
      <sz val="9"/>
      <name val="맑은 고딕"/>
      <family val="3"/>
      <charset val="129"/>
      <scheme val="minor"/>
    </font>
    <font>
      <b/>
      <i/>
      <sz val="10"/>
      <name val="Arial"/>
      <family val="2"/>
    </font>
    <font>
      <b/>
      <sz val="9"/>
      <color theme="1"/>
      <name val="Arial"/>
      <family val="2"/>
    </font>
    <font>
      <b/>
      <sz val="9"/>
      <color theme="1"/>
      <name val="돋움"/>
      <family val="3"/>
      <charset val="129"/>
    </font>
    <font>
      <b/>
      <sz val="9"/>
      <color theme="1"/>
      <name val="맑은 고딕"/>
      <family val="2"/>
      <charset val="129"/>
      <scheme val="minor"/>
    </font>
    <font>
      <b/>
      <sz val="10"/>
      <name val="맑은 고딕"/>
      <family val="3"/>
      <charset val="129"/>
      <scheme val="minor"/>
    </font>
    <font>
      <sz val="10"/>
      <name val="맑은 고딕"/>
      <family val="3"/>
      <charset val="129"/>
      <scheme val="minor"/>
    </font>
    <font>
      <u/>
      <sz val="11"/>
      <color theme="10"/>
      <name val="맑은 고딕"/>
      <family val="2"/>
      <charset val="129"/>
      <scheme val="minor"/>
    </font>
    <font>
      <u/>
      <sz val="11"/>
      <color theme="10"/>
      <name val="맑은 고딕"/>
      <family val="3"/>
      <charset val="129"/>
      <scheme val="minor"/>
    </font>
    <font>
      <sz val="9"/>
      <name val="돋움"/>
      <family val="3"/>
      <charset val="129"/>
    </font>
    <font>
      <sz val="9"/>
      <name val="맑은 고딕"/>
      <family val="2"/>
      <charset val="129"/>
    </font>
    <font>
      <sz val="9"/>
      <color rgb="FF000000"/>
      <name val="나눔고딕"/>
      <family val="3"/>
      <charset val="129"/>
    </font>
    <font>
      <sz val="11"/>
      <color theme="1"/>
      <name val="맑은 고딕"/>
      <family val="2"/>
      <charset val="129"/>
      <scheme val="minor"/>
    </font>
    <font>
      <sz val="11"/>
      <color rgb="FF006100"/>
      <name val="맑은 고딕"/>
      <family val="2"/>
      <charset val="129"/>
      <scheme val="minor"/>
    </font>
    <font>
      <b/>
      <sz val="11"/>
      <color theme="1"/>
      <name val="맑은 고딕"/>
      <family val="2"/>
      <charset val="129"/>
      <scheme val="minor"/>
    </font>
    <font>
      <sz val="10"/>
      <color rgb="FF000000"/>
      <name val="Times New Roman"/>
      <family val="1"/>
    </font>
    <font>
      <u/>
      <sz val="10"/>
      <color rgb="FF008080"/>
      <name val="Times New Roman"/>
      <family val="1"/>
    </font>
    <font>
      <sz val="10"/>
      <color theme="1"/>
      <name val="Times New Roman"/>
      <family val="1"/>
    </font>
  </fonts>
  <fills count="18">
    <fill>
      <patternFill patternType="none"/>
    </fill>
    <fill>
      <patternFill patternType="gray125"/>
    </fill>
    <fill>
      <patternFill patternType="solid">
        <fgColor rgb="FFFFFF00"/>
        <bgColor indexed="64"/>
      </patternFill>
    </fill>
    <fill>
      <patternFill patternType="solid">
        <fgColor theme="0" tint="-4.9989318521683403E-2"/>
        <bgColor indexed="64"/>
      </patternFill>
    </fill>
    <fill>
      <patternFill patternType="solid">
        <fgColor theme="0"/>
        <bgColor indexed="64"/>
      </patternFill>
    </fill>
    <fill>
      <patternFill patternType="solid">
        <fgColor theme="2"/>
        <bgColor indexed="64"/>
      </patternFill>
    </fill>
    <fill>
      <patternFill patternType="solid">
        <fgColor theme="8" tint="0.79998168889431442"/>
        <bgColor indexed="64"/>
      </patternFill>
    </fill>
    <fill>
      <patternFill patternType="solid">
        <fgColor rgb="FFFFFFFF"/>
        <bgColor indexed="64"/>
      </patternFill>
    </fill>
    <fill>
      <patternFill patternType="solid">
        <fgColor rgb="FFC6EFCE"/>
      </patternFill>
    </fill>
    <fill>
      <patternFill patternType="solid">
        <fgColor rgb="FFFFFFCC"/>
      </patternFill>
    </fill>
    <fill>
      <patternFill patternType="solid">
        <fgColor theme="3" tint="0.79998168889431442"/>
        <bgColor indexed="64"/>
      </patternFill>
    </fill>
    <fill>
      <patternFill patternType="solid">
        <fgColor rgb="FFFF0000"/>
        <bgColor indexed="64"/>
      </patternFill>
    </fill>
    <fill>
      <patternFill patternType="solid">
        <fgColor theme="9" tint="-0.249977111117893"/>
        <bgColor indexed="64"/>
      </patternFill>
    </fill>
    <fill>
      <patternFill patternType="solid">
        <fgColor theme="8" tint="0.59999389629810485"/>
        <bgColor indexed="64"/>
      </patternFill>
    </fill>
    <fill>
      <patternFill patternType="solid">
        <fgColor theme="6" tint="0.39997558519241921"/>
        <bgColor indexed="64"/>
      </patternFill>
    </fill>
    <fill>
      <patternFill patternType="solid">
        <fgColor rgb="FF00B050"/>
        <bgColor indexed="64"/>
      </patternFill>
    </fill>
    <fill>
      <patternFill patternType="solid">
        <fgColor rgb="FF00B0F0"/>
        <bgColor indexed="64"/>
      </patternFill>
    </fill>
    <fill>
      <patternFill patternType="solid">
        <fgColor theme="9" tint="0.59999389629810485"/>
        <bgColor indexed="64"/>
      </patternFill>
    </fill>
  </fills>
  <borders count="22">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style="thin">
        <color indexed="64"/>
      </bottom>
      <diagonal/>
    </border>
    <border>
      <left/>
      <right/>
      <top/>
      <bottom style="thin">
        <color indexed="64"/>
      </bottom>
      <diagonal/>
    </border>
    <border>
      <left style="medium">
        <color indexed="64"/>
      </left>
      <right/>
      <top/>
      <bottom style="thin">
        <color indexed="64"/>
      </bottom>
      <diagonal/>
    </border>
    <border>
      <left/>
      <right style="medium">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thin">
        <color indexed="64"/>
      </top>
      <bottom style="thin">
        <color indexed="64"/>
      </bottom>
      <diagonal/>
    </border>
    <border>
      <left/>
      <right/>
      <top style="thin">
        <color indexed="64"/>
      </top>
      <bottom/>
      <diagonal/>
    </border>
    <border>
      <left style="medium">
        <color indexed="64"/>
      </left>
      <right/>
      <top style="thin">
        <color indexed="64"/>
      </top>
      <bottom/>
      <diagonal/>
    </border>
    <border>
      <left/>
      <right style="medium">
        <color indexed="64"/>
      </right>
      <top style="thin">
        <color indexed="64"/>
      </top>
      <bottom/>
      <diagonal/>
    </border>
    <border>
      <left style="hair">
        <color theme="0" tint="-0.24994659260841701"/>
      </left>
      <right style="hair">
        <color theme="0" tint="-0.24994659260841701"/>
      </right>
      <top style="hair">
        <color theme="0" tint="-0.24994659260841701"/>
      </top>
      <bottom style="hair">
        <color theme="0" tint="-0.24994659260841701"/>
      </bottom>
      <diagonal/>
    </border>
    <border>
      <left/>
      <right/>
      <top/>
      <bottom style="hair">
        <color theme="0" tint="-0.14999847407452621"/>
      </bottom>
      <diagonal/>
    </border>
    <border>
      <left style="medium">
        <color rgb="FF70AAC4"/>
      </left>
      <right style="medium">
        <color rgb="FF70AAC4"/>
      </right>
      <top style="medium">
        <color rgb="FF70AAC4"/>
      </top>
      <bottom style="medium">
        <color rgb="FF70AAC4"/>
      </bottom>
      <diagonal/>
    </border>
    <border>
      <left style="thin">
        <color rgb="FFB2B2B2"/>
      </left>
      <right style="thin">
        <color rgb="FFB2B2B2"/>
      </right>
      <top style="thin">
        <color rgb="FFB2B2B2"/>
      </top>
      <bottom style="thin">
        <color rgb="FFB2B2B2"/>
      </bottom>
      <diagonal/>
    </border>
  </borders>
  <cellStyleXfs count="4">
    <xf numFmtId="0" fontId="0" fillId="0" borderId="0">
      <alignment vertical="center"/>
    </xf>
    <xf numFmtId="0" fontId="41" fillId="0" borderId="0" applyNumberFormat="0" applyFill="0" applyBorder="0" applyAlignment="0" applyProtection="0">
      <alignment vertical="center"/>
    </xf>
    <xf numFmtId="0" fontId="47" fillId="8" borderId="0" applyNumberFormat="0" applyBorder="0" applyAlignment="0" applyProtection="0">
      <alignment vertical="center"/>
    </xf>
    <xf numFmtId="0" fontId="46" fillId="9" borderId="21" applyNumberFormat="0" applyFont="0" applyAlignment="0" applyProtection="0">
      <alignment vertical="center"/>
    </xf>
  </cellStyleXfs>
  <cellXfs count="443">
    <xf numFmtId="0" fontId="0" fillId="0" borderId="0" xfId="0">
      <alignment vertical="center"/>
    </xf>
    <xf numFmtId="0" fontId="2" fillId="0" borderId="0" xfId="0" applyFont="1">
      <alignment vertical="center"/>
    </xf>
    <xf numFmtId="0" fontId="3" fillId="0" borderId="0" xfId="0" applyFont="1" applyAlignment="1">
      <alignment horizontal="right" vertical="center"/>
    </xf>
    <xf numFmtId="0" fontId="2" fillId="0" borderId="0" xfId="0" applyFont="1" applyAlignment="1">
      <alignment vertical="center" wrapText="1"/>
    </xf>
    <xf numFmtId="0" fontId="3" fillId="0" borderId="0" xfId="0" applyFont="1" applyAlignment="1">
      <alignment horizontal="right" vertical="center" wrapText="1"/>
    </xf>
    <xf numFmtId="0" fontId="4" fillId="0" borderId="0" xfId="0" applyFont="1" applyAlignment="1">
      <alignment horizontal="left" vertical="center"/>
    </xf>
    <xf numFmtId="0" fontId="4" fillId="0" borderId="0" xfId="0" applyFont="1">
      <alignment vertical="center"/>
    </xf>
    <xf numFmtId="0" fontId="5" fillId="0" borderId="0" xfId="0" applyFont="1" applyAlignment="1">
      <alignment horizontal="right" vertical="center"/>
    </xf>
    <xf numFmtId="0" fontId="2" fillId="0" borderId="0" xfId="0" applyFont="1" applyAlignment="1">
      <alignment vertical="center"/>
    </xf>
    <xf numFmtId="0" fontId="9" fillId="0" borderId="0" xfId="0" applyFont="1" applyAlignment="1">
      <alignment horizontal="right" vertical="center"/>
    </xf>
    <xf numFmtId="0" fontId="9" fillId="0" borderId="0" xfId="0" applyFont="1" applyAlignment="1">
      <alignment horizontal="right" vertical="center" wrapText="1"/>
    </xf>
    <xf numFmtId="0" fontId="10" fillId="0" borderId="0" xfId="0" applyFont="1">
      <alignment vertical="center"/>
    </xf>
    <xf numFmtId="0" fontId="11" fillId="0" borderId="0" xfId="0" applyFont="1" applyAlignment="1">
      <alignment horizontal="right" vertical="center" wrapText="1"/>
    </xf>
    <xf numFmtId="0" fontId="4" fillId="0" borderId="0" xfId="0" applyFont="1" applyAlignment="1">
      <alignment vertical="center"/>
    </xf>
    <xf numFmtId="0" fontId="12" fillId="0" borderId="0" xfId="0" applyFont="1" applyAlignment="1">
      <alignment vertical="center" wrapText="1"/>
    </xf>
    <xf numFmtId="0" fontId="12" fillId="0" borderId="0" xfId="0" applyFont="1">
      <alignment vertical="center"/>
    </xf>
    <xf numFmtId="0" fontId="5" fillId="0" borderId="0" xfId="0" applyFont="1" applyAlignment="1">
      <alignment horizontal="right" vertical="center" wrapText="1"/>
    </xf>
    <xf numFmtId="0" fontId="3" fillId="0" borderId="0" xfId="0" applyFont="1" applyAlignment="1">
      <alignment horizontal="center" vertical="center" wrapText="1"/>
    </xf>
    <xf numFmtId="0" fontId="5" fillId="0" borderId="0" xfId="0" applyFont="1" applyAlignment="1">
      <alignment horizontal="center" vertical="center"/>
    </xf>
    <xf numFmtId="0" fontId="7" fillId="0" borderId="0" xfId="0" applyFont="1" applyAlignment="1">
      <alignment horizontal="center" vertical="center"/>
    </xf>
    <xf numFmtId="0" fontId="8" fillId="0" borderId="0" xfId="0" applyFont="1" applyFill="1" applyAlignment="1">
      <alignment horizontal="center" vertical="center" wrapText="1"/>
    </xf>
    <xf numFmtId="0" fontId="14" fillId="2" borderId="0" xfId="0" applyFont="1" applyFill="1">
      <alignment vertical="center"/>
    </xf>
    <xf numFmtId="0" fontId="14" fillId="2" borderId="0" xfId="0" applyFont="1" applyFill="1" applyAlignment="1">
      <alignment horizontal="center" vertical="center"/>
    </xf>
    <xf numFmtId="0" fontId="14" fillId="2" borderId="0" xfId="0" applyFont="1" applyFill="1" applyAlignment="1">
      <alignment vertical="center" wrapText="1"/>
    </xf>
    <xf numFmtId="0" fontId="14" fillId="0" borderId="0" xfId="0" applyFont="1">
      <alignment vertical="center"/>
    </xf>
    <xf numFmtId="0" fontId="14" fillId="0" borderId="0" xfId="0" applyFont="1" applyAlignment="1">
      <alignment horizontal="center" vertical="center"/>
    </xf>
    <xf numFmtId="0" fontId="14" fillId="0" borderId="0" xfId="0" applyFont="1" applyAlignment="1">
      <alignment vertical="center" wrapText="1"/>
    </xf>
    <xf numFmtId="0" fontId="14" fillId="0" borderId="0" xfId="0" applyFont="1" applyFill="1" applyAlignment="1">
      <alignment horizontal="center" vertical="center"/>
    </xf>
    <xf numFmtId="0" fontId="14" fillId="0" borderId="0" xfId="0" applyFont="1" applyFill="1">
      <alignment vertical="center"/>
    </xf>
    <xf numFmtId="0" fontId="15" fillId="0" borderId="0" xfId="0" applyFont="1" applyAlignment="1">
      <alignment horizontal="center" vertical="center"/>
    </xf>
    <xf numFmtId="0" fontId="0" fillId="0" borderId="0" xfId="0" applyAlignment="1">
      <alignment horizontal="left" vertical="center"/>
    </xf>
    <xf numFmtId="0" fontId="0" fillId="0" borderId="0" xfId="0" applyAlignment="1">
      <alignment vertical="center" wrapText="1"/>
    </xf>
    <xf numFmtId="0" fontId="16" fillId="0" borderId="0" xfId="0" applyFont="1" applyAlignment="1">
      <alignment horizontal="left" vertical="center" readingOrder="1"/>
    </xf>
    <xf numFmtId="177" fontId="14" fillId="2" borderId="0" xfId="0" applyNumberFormat="1" applyFont="1" applyFill="1">
      <alignment vertical="center"/>
    </xf>
    <xf numFmtId="177" fontId="14" fillId="0" borderId="0" xfId="0" applyNumberFormat="1" applyFont="1" applyAlignment="1">
      <alignment vertical="center" wrapText="1"/>
    </xf>
    <xf numFmtId="177" fontId="14" fillId="0" borderId="0" xfId="0" applyNumberFormat="1" applyFont="1">
      <alignment vertical="center"/>
    </xf>
    <xf numFmtId="177" fontId="14" fillId="0" borderId="0" xfId="0" applyNumberFormat="1" applyFont="1" applyAlignment="1">
      <alignment horizontal="center" vertical="center"/>
    </xf>
    <xf numFmtId="177" fontId="14" fillId="0" borderId="0" xfId="0" applyNumberFormat="1" applyFont="1" applyAlignment="1">
      <alignment horizontal="right" vertical="center"/>
    </xf>
    <xf numFmtId="176" fontId="0" fillId="0" borderId="0" xfId="0" applyNumberFormat="1" applyAlignment="1">
      <alignment vertical="center" wrapText="1"/>
    </xf>
    <xf numFmtId="0" fontId="20" fillId="3" borderId="0" xfId="0" applyFont="1" applyFill="1" applyAlignment="1">
      <alignment vertical="center" wrapText="1"/>
    </xf>
    <xf numFmtId="0" fontId="20" fillId="0" borderId="0" xfId="0" applyFont="1" applyAlignment="1">
      <alignment vertical="center" wrapText="1"/>
    </xf>
    <xf numFmtId="176" fontId="20" fillId="0" borderId="0" xfId="0" applyNumberFormat="1" applyFont="1" applyAlignment="1">
      <alignment vertical="center" wrapText="1"/>
    </xf>
    <xf numFmtId="0" fontId="14" fillId="0" borderId="0" xfId="0" applyFont="1" applyAlignment="1">
      <alignment vertical="center"/>
    </xf>
    <xf numFmtId="177" fontId="14" fillId="0" borderId="0" xfId="0" applyNumberFormat="1" applyFont="1" applyAlignment="1">
      <alignment vertical="center"/>
    </xf>
    <xf numFmtId="177" fontId="18" fillId="0" borderId="0" xfId="0" applyNumberFormat="1" applyFont="1" applyAlignment="1">
      <alignment vertical="center"/>
    </xf>
    <xf numFmtId="0" fontId="14" fillId="0" borderId="0" xfId="0" applyFont="1" applyAlignment="1">
      <alignment horizontal="center" vertical="center"/>
    </xf>
    <xf numFmtId="176" fontId="20" fillId="5" borderId="0" xfId="0" applyNumberFormat="1" applyFont="1" applyFill="1" applyAlignment="1">
      <alignment vertical="center" wrapText="1"/>
    </xf>
    <xf numFmtId="178" fontId="20" fillId="0" borderId="0" xfId="0" applyNumberFormat="1" applyFont="1" applyAlignment="1">
      <alignment vertical="center" wrapText="1"/>
    </xf>
    <xf numFmtId="178" fontId="20" fillId="5" borderId="0" xfId="0" applyNumberFormat="1" applyFont="1" applyFill="1" applyAlignment="1">
      <alignment vertical="center" wrapText="1"/>
    </xf>
    <xf numFmtId="0" fontId="5" fillId="0" borderId="0" xfId="0" applyFont="1">
      <alignment vertical="center"/>
    </xf>
    <xf numFmtId="0" fontId="13" fillId="0" borderId="0" xfId="0" applyFont="1" applyAlignment="1">
      <alignment horizontal="left" vertical="center" wrapText="1"/>
    </xf>
    <xf numFmtId="177" fontId="14" fillId="5" borderId="0" xfId="0" applyNumberFormat="1" applyFont="1" applyFill="1">
      <alignment vertical="center"/>
    </xf>
    <xf numFmtId="177" fontId="14" fillId="0" borderId="0" xfId="0" applyNumberFormat="1" applyFont="1" applyFill="1" applyAlignment="1">
      <alignment vertical="center" wrapText="1"/>
    </xf>
    <xf numFmtId="177" fontId="14" fillId="0" borderId="0" xfId="0" applyNumberFormat="1" applyFont="1" applyFill="1">
      <alignment vertical="center"/>
    </xf>
    <xf numFmtId="0" fontId="22" fillId="0" borderId="0" xfId="0" applyFont="1" applyAlignment="1">
      <alignment horizontal="center" vertical="center"/>
    </xf>
    <xf numFmtId="177" fontId="14" fillId="5" borderId="0" xfId="0" applyNumberFormat="1" applyFont="1" applyFill="1" applyAlignment="1">
      <alignment vertical="center"/>
    </xf>
    <xf numFmtId="0" fontId="14" fillId="5" borderId="0" xfId="0" applyFont="1" applyFill="1" applyAlignment="1">
      <alignment horizontal="center" vertical="center"/>
    </xf>
    <xf numFmtId="0" fontId="14" fillId="5" borderId="0" xfId="0" applyFont="1" applyFill="1">
      <alignment vertical="center"/>
    </xf>
    <xf numFmtId="0" fontId="22" fillId="5" borderId="0" xfId="0" applyFont="1" applyFill="1" applyAlignment="1">
      <alignment horizontal="center" vertical="center"/>
    </xf>
    <xf numFmtId="179" fontId="2" fillId="3" borderId="0" xfId="0" applyNumberFormat="1" applyFont="1" applyFill="1" applyAlignment="1">
      <alignment vertical="center" wrapText="1"/>
    </xf>
    <xf numFmtId="179" fontId="2" fillId="0" borderId="0" xfId="0" applyNumberFormat="1" applyFont="1" applyAlignment="1">
      <alignment vertical="center" wrapText="1"/>
    </xf>
    <xf numFmtId="179" fontId="0" fillId="3" borderId="0" xfId="0" applyNumberFormat="1" applyFill="1" applyAlignment="1">
      <alignment vertical="center" wrapText="1"/>
    </xf>
    <xf numFmtId="179" fontId="0" fillId="0" borderId="0" xfId="0" applyNumberFormat="1" applyAlignment="1">
      <alignment vertical="center" wrapText="1"/>
    </xf>
    <xf numFmtId="179" fontId="0" fillId="5" borderId="0" xfId="0" applyNumberFormat="1" applyFill="1" applyAlignment="1">
      <alignment vertical="center" wrapText="1"/>
    </xf>
    <xf numFmtId="179" fontId="2" fillId="3" borderId="0" xfId="0" applyNumberFormat="1" applyFont="1" applyFill="1">
      <alignment vertical="center"/>
    </xf>
    <xf numFmtId="179" fontId="2" fillId="0" borderId="0" xfId="0" applyNumberFormat="1" applyFont="1">
      <alignment vertical="center"/>
    </xf>
    <xf numFmtId="179" fontId="0" fillId="3" borderId="0" xfId="0" applyNumberFormat="1" applyFill="1">
      <alignment vertical="center"/>
    </xf>
    <xf numFmtId="179" fontId="0" fillId="0" borderId="0" xfId="0" applyNumberFormat="1">
      <alignment vertical="center"/>
    </xf>
    <xf numFmtId="179" fontId="0" fillId="5" borderId="0" xfId="0" applyNumberFormat="1" applyFill="1">
      <alignment vertical="center"/>
    </xf>
    <xf numFmtId="179" fontId="17" fillId="5" borderId="0" xfId="0" applyNumberFormat="1" applyFont="1" applyFill="1">
      <alignment vertical="center"/>
    </xf>
    <xf numFmtId="179" fontId="17" fillId="0" borderId="0" xfId="0" applyNumberFormat="1" applyFont="1">
      <alignment vertical="center"/>
    </xf>
    <xf numFmtId="179" fontId="19" fillId="0" borderId="0" xfId="0" applyNumberFormat="1" applyFont="1">
      <alignment vertical="center"/>
    </xf>
    <xf numFmtId="179" fontId="19" fillId="3" borderId="0" xfId="0" applyNumberFormat="1" applyFont="1" applyFill="1">
      <alignment vertical="center"/>
    </xf>
    <xf numFmtId="179" fontId="17" fillId="3" borderId="0" xfId="0" applyNumberFormat="1" applyFont="1" applyFill="1">
      <alignment vertical="center"/>
    </xf>
    <xf numFmtId="179" fontId="2" fillId="0" borderId="0" xfId="0" applyNumberFormat="1" applyFont="1" applyFill="1">
      <alignment vertical="center"/>
    </xf>
    <xf numFmtId="179" fontId="2" fillId="5" borderId="0" xfId="0" applyNumberFormat="1" applyFont="1" applyFill="1">
      <alignment vertical="center"/>
    </xf>
    <xf numFmtId="179" fontId="21" fillId="5" borderId="0" xfId="0" applyNumberFormat="1" applyFont="1" applyFill="1">
      <alignment vertical="center"/>
    </xf>
    <xf numFmtId="179" fontId="19" fillId="0" borderId="0" xfId="0" applyNumberFormat="1" applyFont="1" applyFill="1">
      <alignment vertical="center"/>
    </xf>
    <xf numFmtId="179" fontId="2" fillId="4" borderId="0" xfId="0" applyNumberFormat="1" applyFont="1" applyFill="1">
      <alignment vertical="center"/>
    </xf>
    <xf numFmtId="177" fontId="22" fillId="0" borderId="0" xfId="0" applyNumberFormat="1" applyFont="1" applyAlignment="1">
      <alignment horizontal="center" vertical="center"/>
    </xf>
    <xf numFmtId="49" fontId="14" fillId="0" borderId="0" xfId="0" applyNumberFormat="1" applyFont="1" applyAlignment="1">
      <alignment horizontal="left" vertical="center"/>
    </xf>
    <xf numFmtId="0" fontId="14" fillId="0" borderId="0" xfId="0" applyFont="1" applyAlignment="1">
      <alignment horizontal="center" vertical="center"/>
    </xf>
    <xf numFmtId="0" fontId="14" fillId="0" borderId="0" xfId="0" applyFont="1" applyAlignment="1">
      <alignment horizontal="center" vertical="center"/>
    </xf>
    <xf numFmtId="0" fontId="22" fillId="0" borderId="0" xfId="0" applyFont="1" applyAlignment="1">
      <alignment horizontal="center" vertical="center"/>
    </xf>
    <xf numFmtId="177" fontId="14" fillId="0" borderId="0" xfId="0" applyNumberFormat="1" applyFont="1" applyAlignment="1">
      <alignment horizontal="center" vertical="center"/>
    </xf>
    <xf numFmtId="0" fontId="14" fillId="5" borderId="0" xfId="0" applyFont="1" applyFill="1" applyAlignment="1">
      <alignment horizontal="center" vertical="center"/>
    </xf>
    <xf numFmtId="0" fontId="0" fillId="2" borderId="0" xfId="0" applyFill="1" applyAlignment="1">
      <alignment horizontal="left" vertical="center"/>
    </xf>
    <xf numFmtId="0" fontId="0" fillId="2" borderId="0" xfId="0" applyFill="1">
      <alignment vertical="center"/>
    </xf>
    <xf numFmtId="49" fontId="14" fillId="0" borderId="0" xfId="0" applyNumberFormat="1" applyFont="1" applyAlignment="1">
      <alignment horizontal="center" vertical="center"/>
    </xf>
    <xf numFmtId="49" fontId="14" fillId="0" borderId="0" xfId="0" applyNumberFormat="1" applyFont="1">
      <alignment vertical="center"/>
    </xf>
    <xf numFmtId="49" fontId="14" fillId="5" borderId="0" xfId="0" applyNumberFormat="1" applyFont="1" applyFill="1">
      <alignment vertical="center"/>
    </xf>
    <xf numFmtId="0" fontId="14" fillId="0" borderId="0" xfId="0" applyFont="1" applyAlignment="1">
      <alignment horizontal="center" vertical="center"/>
    </xf>
    <xf numFmtId="177" fontId="14" fillId="0" borderId="0" xfId="0" applyNumberFormat="1" applyFont="1" applyAlignment="1">
      <alignment horizontal="center" vertical="center"/>
    </xf>
    <xf numFmtId="0" fontId="22" fillId="0" borderId="0" xfId="0" applyFont="1" applyAlignment="1">
      <alignment horizontal="center" vertical="center"/>
    </xf>
    <xf numFmtId="0" fontId="15" fillId="0" borderId="0" xfId="0" applyFont="1" applyAlignment="1">
      <alignment horizontal="center" vertical="center"/>
    </xf>
    <xf numFmtId="0" fontId="14" fillId="5" borderId="0" xfId="0" applyFont="1" applyFill="1" applyAlignment="1">
      <alignment horizontal="center" vertical="center"/>
    </xf>
    <xf numFmtId="49" fontId="22" fillId="0" borderId="0" xfId="0" applyNumberFormat="1" applyFont="1" applyAlignment="1">
      <alignment horizontal="left" vertical="center"/>
    </xf>
    <xf numFmtId="0" fontId="14" fillId="0" borderId="0" xfId="0" applyFont="1" applyFill="1" applyAlignment="1">
      <alignment horizontal="center" vertical="center"/>
    </xf>
    <xf numFmtId="177" fontId="15" fillId="0" borderId="0" xfId="0" applyNumberFormat="1" applyFont="1" applyAlignment="1">
      <alignment horizontal="center" vertical="center"/>
    </xf>
    <xf numFmtId="49" fontId="14" fillId="0" borderId="0" xfId="0" applyNumberFormat="1" applyFont="1" applyFill="1" applyAlignment="1">
      <alignment horizontal="left" vertical="center"/>
    </xf>
    <xf numFmtId="0" fontId="14" fillId="0" borderId="0" xfId="0" applyFont="1" applyFill="1" applyAlignment="1">
      <alignment vertical="center" wrapText="1"/>
    </xf>
    <xf numFmtId="177" fontId="14" fillId="0" borderId="0" xfId="0" applyNumberFormat="1" applyFont="1" applyFill="1" applyAlignment="1">
      <alignment horizontal="right" vertical="center"/>
    </xf>
    <xf numFmtId="177" fontId="14" fillId="0" borderId="0" xfId="0" applyNumberFormat="1" applyFont="1" applyFill="1" applyAlignment="1">
      <alignment horizontal="center" vertical="center"/>
    </xf>
    <xf numFmtId="49" fontId="14" fillId="3" borderId="0" xfId="0" applyNumberFormat="1" applyFont="1" applyFill="1">
      <alignment vertical="center"/>
    </xf>
    <xf numFmtId="177" fontId="14" fillId="3" borderId="0" xfId="0" applyNumberFormat="1" applyFont="1" applyFill="1" applyAlignment="1">
      <alignment vertical="center"/>
    </xf>
    <xf numFmtId="177" fontId="14" fillId="3" borderId="0" xfId="0" applyNumberFormat="1" applyFont="1" applyFill="1">
      <alignment vertical="center"/>
    </xf>
    <xf numFmtId="177" fontId="14" fillId="3" borderId="0" xfId="0" applyNumberFormat="1" applyFont="1" applyFill="1" applyAlignment="1">
      <alignment vertical="center" wrapText="1"/>
    </xf>
    <xf numFmtId="0" fontId="14" fillId="3" borderId="0" xfId="0" applyFont="1" applyFill="1" applyAlignment="1">
      <alignment horizontal="center" vertical="center"/>
    </xf>
    <xf numFmtId="177" fontId="14" fillId="3" borderId="0" xfId="0" applyNumberFormat="1" applyFont="1" applyFill="1" applyAlignment="1">
      <alignment horizontal="center" vertical="center"/>
    </xf>
    <xf numFmtId="177" fontId="15" fillId="3" borderId="0" xfId="0" applyNumberFormat="1" applyFont="1" applyFill="1" applyAlignment="1">
      <alignment horizontal="center" vertical="center"/>
    </xf>
    <xf numFmtId="0" fontId="14" fillId="3" borderId="0" xfId="0" applyFont="1" applyFill="1">
      <alignment vertical="center"/>
    </xf>
    <xf numFmtId="177" fontId="14" fillId="3" borderId="0" xfId="0" applyNumberFormat="1" applyFont="1" applyFill="1" applyAlignment="1">
      <alignment horizontal="right" vertical="center"/>
    </xf>
    <xf numFmtId="0" fontId="22" fillId="3" borderId="0" xfId="0" applyFont="1" applyFill="1" applyAlignment="1">
      <alignment horizontal="center" vertical="center"/>
    </xf>
    <xf numFmtId="176" fontId="20" fillId="3" borderId="0" xfId="0" applyNumberFormat="1" applyFont="1" applyFill="1" applyAlignment="1">
      <alignment vertical="center" wrapText="1"/>
    </xf>
    <xf numFmtId="177" fontId="22" fillId="3" borderId="0" xfId="0" applyNumberFormat="1" applyFont="1" applyFill="1" applyAlignment="1">
      <alignment horizontal="center" vertical="center"/>
    </xf>
    <xf numFmtId="178" fontId="20" fillId="3" borderId="0" xfId="0" applyNumberFormat="1" applyFont="1" applyFill="1" applyAlignment="1">
      <alignment vertical="center" wrapText="1"/>
    </xf>
    <xf numFmtId="176" fontId="0" fillId="3" borderId="0" xfId="0" applyNumberFormat="1" applyFill="1" applyAlignment="1">
      <alignment vertical="center" wrapText="1"/>
    </xf>
    <xf numFmtId="0" fontId="15" fillId="3" borderId="0" xfId="0" applyFont="1" applyFill="1" applyAlignment="1">
      <alignment horizontal="center" vertical="center"/>
    </xf>
    <xf numFmtId="177" fontId="15" fillId="3" borderId="0" xfId="0" applyNumberFormat="1" applyFont="1" applyFill="1" applyAlignment="1">
      <alignment vertical="center"/>
    </xf>
    <xf numFmtId="177" fontId="15" fillId="0" borderId="0" xfId="0" applyNumberFormat="1" applyFont="1" applyAlignment="1">
      <alignment vertical="center"/>
    </xf>
    <xf numFmtId="0" fontId="15" fillId="3" borderId="0" xfId="0" applyFont="1" applyFill="1">
      <alignment vertical="center"/>
    </xf>
    <xf numFmtId="0" fontId="15" fillId="0" borderId="0" xfId="0" applyFont="1">
      <alignment vertical="center"/>
    </xf>
    <xf numFmtId="0" fontId="22" fillId="0" borderId="0" xfId="0" applyFont="1">
      <alignment vertical="center"/>
    </xf>
    <xf numFmtId="0" fontId="22" fillId="3" borderId="0" xfId="0" applyFont="1" applyFill="1">
      <alignment vertical="center"/>
    </xf>
    <xf numFmtId="0" fontId="14" fillId="0" borderId="0" xfId="0" applyFont="1" applyAlignment="1">
      <alignment horizontal="center" vertical="center"/>
    </xf>
    <xf numFmtId="0" fontId="14" fillId="3" borderId="0" xfId="0" applyFont="1" applyFill="1" applyAlignment="1">
      <alignment horizontal="center" vertical="center"/>
    </xf>
    <xf numFmtId="0" fontId="14" fillId="5" borderId="0" xfId="0" applyFont="1" applyFill="1" applyAlignment="1">
      <alignment horizontal="center" vertical="center"/>
    </xf>
    <xf numFmtId="0" fontId="23" fillId="0" borderId="0" xfId="0" applyFont="1" applyAlignment="1">
      <alignment vertical="center"/>
    </xf>
    <xf numFmtId="177" fontId="24" fillId="0" borderId="0" xfId="0" applyNumberFormat="1" applyFont="1" applyAlignment="1">
      <alignment vertical="center"/>
    </xf>
    <xf numFmtId="0" fontId="11" fillId="3" borderId="0" xfId="0" applyFont="1" applyFill="1" applyAlignment="1">
      <alignment vertical="center" wrapText="1"/>
    </xf>
    <xf numFmtId="0" fontId="11" fillId="0" borderId="0" xfId="0" applyFont="1" applyAlignment="1">
      <alignment vertical="center" wrapText="1"/>
    </xf>
    <xf numFmtId="176" fontId="11" fillId="0" borderId="0" xfId="0" applyNumberFormat="1" applyFont="1" applyAlignment="1">
      <alignment vertical="center" wrapText="1"/>
    </xf>
    <xf numFmtId="176" fontId="11" fillId="5" borderId="0" xfId="0" applyNumberFormat="1" applyFont="1" applyFill="1" applyAlignment="1">
      <alignment vertical="center" wrapText="1"/>
    </xf>
    <xf numFmtId="178" fontId="11" fillId="5" borderId="0" xfId="0" applyNumberFormat="1" applyFont="1" applyFill="1" applyAlignment="1">
      <alignment vertical="center" wrapText="1"/>
    </xf>
    <xf numFmtId="178" fontId="11" fillId="0" borderId="0" xfId="0" applyNumberFormat="1" applyFont="1" applyAlignment="1">
      <alignment vertical="center" wrapText="1"/>
    </xf>
    <xf numFmtId="0" fontId="11" fillId="0" borderId="0" xfId="0" applyFont="1">
      <alignment vertical="center"/>
    </xf>
    <xf numFmtId="0" fontId="11" fillId="2" borderId="0" xfId="0" applyFont="1" applyFill="1">
      <alignment vertical="center"/>
    </xf>
    <xf numFmtId="0" fontId="25" fillId="0" borderId="0" xfId="0" applyFont="1">
      <alignment vertical="center"/>
    </xf>
    <xf numFmtId="0" fontId="11" fillId="6" borderId="0" xfId="0" applyFont="1" applyFill="1">
      <alignment vertical="center"/>
    </xf>
    <xf numFmtId="177" fontId="11" fillId="0" borderId="0" xfId="0" applyNumberFormat="1" applyFont="1">
      <alignment vertical="center"/>
    </xf>
    <xf numFmtId="177" fontId="23" fillId="3" borderId="0" xfId="0" applyNumberFormat="1" applyFont="1" applyFill="1" applyAlignment="1">
      <alignment vertical="center"/>
    </xf>
    <xf numFmtId="0" fontId="11" fillId="3" borderId="0" xfId="0" applyFont="1" applyFill="1">
      <alignment vertical="center"/>
    </xf>
    <xf numFmtId="0" fontId="28" fillId="0" borderId="0" xfId="0" applyFont="1">
      <alignment vertical="center"/>
    </xf>
    <xf numFmtId="177" fontId="11" fillId="3" borderId="0" xfId="0" applyNumberFormat="1" applyFont="1" applyFill="1">
      <alignment vertical="center"/>
    </xf>
    <xf numFmtId="176" fontId="11" fillId="3" borderId="0" xfId="0" applyNumberFormat="1" applyFont="1" applyFill="1" applyAlignment="1">
      <alignment vertical="center" wrapText="1"/>
    </xf>
    <xf numFmtId="178" fontId="11" fillId="3" borderId="0" xfId="0" applyNumberFormat="1" applyFont="1" applyFill="1" applyAlignment="1">
      <alignment vertical="center" wrapText="1"/>
    </xf>
    <xf numFmtId="0" fontId="11" fillId="0" borderId="0" xfId="0" applyFont="1" applyFill="1">
      <alignment vertical="center"/>
    </xf>
    <xf numFmtId="179" fontId="21" fillId="3" borderId="0" xfId="0" applyNumberFormat="1" applyFont="1" applyFill="1">
      <alignment vertical="center"/>
    </xf>
    <xf numFmtId="0" fontId="0" fillId="3" borderId="0" xfId="0" applyFill="1">
      <alignment vertical="center"/>
    </xf>
    <xf numFmtId="179" fontId="0" fillId="0" borderId="0" xfId="0" applyNumberFormat="1" applyFill="1">
      <alignment vertical="center"/>
    </xf>
    <xf numFmtId="0" fontId="0" fillId="0" borderId="0" xfId="0" applyFill="1">
      <alignment vertical="center"/>
    </xf>
    <xf numFmtId="176" fontId="3" fillId="0" borderId="0" xfId="0" applyNumberFormat="1" applyFont="1" applyAlignment="1">
      <alignment vertical="center" wrapText="1"/>
    </xf>
    <xf numFmtId="179" fontId="3" fillId="3" borderId="0" xfId="0" applyNumberFormat="1" applyFont="1" applyFill="1" applyAlignment="1">
      <alignment vertical="center" wrapText="1"/>
    </xf>
    <xf numFmtId="179" fontId="3" fillId="0" borderId="0" xfId="0" applyNumberFormat="1" applyFont="1" applyAlignment="1">
      <alignment vertical="center" wrapText="1"/>
    </xf>
    <xf numFmtId="0" fontId="0" fillId="0" borderId="0" xfId="0" applyFont="1">
      <alignment vertical="center"/>
    </xf>
    <xf numFmtId="0" fontId="14" fillId="0" borderId="0" xfId="0" applyFont="1" applyAlignment="1">
      <alignment horizontal="center" vertical="center"/>
    </xf>
    <xf numFmtId="177" fontId="14" fillId="0" borderId="0" xfId="0" applyNumberFormat="1" applyFont="1" applyAlignment="1">
      <alignment horizontal="center" vertical="center"/>
    </xf>
    <xf numFmtId="177" fontId="22" fillId="0" borderId="0" xfId="0" applyNumberFormat="1" applyFont="1" applyAlignment="1">
      <alignment horizontal="center" vertical="center"/>
    </xf>
    <xf numFmtId="0" fontId="15" fillId="0" borderId="0" xfId="0" applyFont="1" applyAlignment="1">
      <alignment horizontal="center" vertical="center"/>
    </xf>
    <xf numFmtId="0" fontId="22" fillId="5" borderId="0" xfId="0" applyFont="1" applyFill="1" applyAlignment="1">
      <alignment horizontal="center" vertical="center"/>
    </xf>
    <xf numFmtId="0" fontId="14" fillId="3" borderId="0" xfId="0" applyFont="1" applyFill="1" applyAlignment="1">
      <alignment horizontal="center" vertical="center"/>
    </xf>
    <xf numFmtId="0" fontId="22" fillId="0" borderId="0" xfId="0" applyFont="1" applyAlignment="1">
      <alignment horizontal="center" vertical="center"/>
    </xf>
    <xf numFmtId="0" fontId="14" fillId="5" borderId="0" xfId="0" applyFont="1" applyFill="1" applyAlignment="1">
      <alignment horizontal="center" vertical="center"/>
    </xf>
    <xf numFmtId="177" fontId="14" fillId="3" borderId="0" xfId="0" applyNumberFormat="1" applyFont="1" applyFill="1" applyAlignment="1">
      <alignment horizontal="center" vertical="center"/>
    </xf>
    <xf numFmtId="0" fontId="5" fillId="0" borderId="0" xfId="0" applyFont="1" applyAlignment="1">
      <alignment horizontal="left" vertical="center"/>
    </xf>
    <xf numFmtId="0" fontId="14" fillId="3" borderId="4" xfId="0" applyFont="1" applyFill="1" applyBorder="1" applyAlignment="1">
      <alignment horizontal="center" vertical="center"/>
    </xf>
    <xf numFmtId="0" fontId="14" fillId="0" borderId="0" xfId="0" applyFont="1" applyBorder="1" applyAlignment="1">
      <alignment horizontal="center" vertical="center"/>
    </xf>
    <xf numFmtId="0" fontId="14" fillId="0" borderId="5" xfId="0" applyFont="1" applyBorder="1" applyAlignment="1">
      <alignment horizontal="center" vertical="center"/>
    </xf>
    <xf numFmtId="177" fontId="14" fillId="3" borderId="4" xfId="0" applyNumberFormat="1" applyFont="1" applyFill="1" applyBorder="1" applyAlignment="1">
      <alignment horizontal="center" vertical="center"/>
    </xf>
    <xf numFmtId="177" fontId="14" fillId="0" borderId="0" xfId="0" applyNumberFormat="1" applyFont="1" applyBorder="1" applyAlignment="1">
      <alignment horizontal="center" vertical="center"/>
    </xf>
    <xf numFmtId="177" fontId="14" fillId="0" borderId="5" xfId="0" applyNumberFormat="1" applyFont="1" applyBorder="1" applyAlignment="1">
      <alignment horizontal="center" vertical="center"/>
    </xf>
    <xf numFmtId="177" fontId="14" fillId="3" borderId="4" xfId="0" applyNumberFormat="1" applyFont="1" applyFill="1" applyBorder="1">
      <alignment vertical="center"/>
    </xf>
    <xf numFmtId="177" fontId="14" fillId="0" borderId="0" xfId="0" applyNumberFormat="1" applyFont="1" applyBorder="1">
      <alignment vertical="center"/>
    </xf>
    <xf numFmtId="177" fontId="14" fillId="0" borderId="5" xfId="0" applyNumberFormat="1" applyFont="1" applyBorder="1">
      <alignment vertical="center"/>
    </xf>
    <xf numFmtId="0" fontId="14" fillId="5" borderId="4" xfId="0" applyFont="1" applyFill="1" applyBorder="1" applyAlignment="1">
      <alignment horizontal="center" vertical="center"/>
    </xf>
    <xf numFmtId="0" fontId="14" fillId="0" borderId="0" xfId="0" applyFont="1" applyBorder="1" applyAlignment="1">
      <alignment horizontal="center" vertical="center"/>
    </xf>
    <xf numFmtId="0" fontId="14" fillId="0" borderId="5" xfId="0" applyFont="1" applyBorder="1" applyAlignment="1">
      <alignment horizontal="center" vertical="center"/>
    </xf>
    <xf numFmtId="0" fontId="14" fillId="5" borderId="4" xfId="0" applyFont="1" applyFill="1" applyBorder="1">
      <alignment vertical="center"/>
    </xf>
    <xf numFmtId="0" fontId="14" fillId="0" borderId="0" xfId="0" applyFont="1" applyBorder="1">
      <alignment vertical="center"/>
    </xf>
    <xf numFmtId="0" fontId="14" fillId="0" borderId="5" xfId="0" applyFont="1" applyBorder="1">
      <alignment vertical="center"/>
    </xf>
    <xf numFmtId="0" fontId="14" fillId="0" borderId="7" xfId="0" applyFont="1" applyBorder="1">
      <alignment vertical="center"/>
    </xf>
    <xf numFmtId="0" fontId="14" fillId="0" borderId="8" xfId="0" applyFont="1" applyBorder="1">
      <alignment vertical="center"/>
    </xf>
    <xf numFmtId="0" fontId="14" fillId="3" borderId="4" xfId="0" applyFont="1" applyFill="1" applyBorder="1">
      <alignment vertical="center"/>
    </xf>
    <xf numFmtId="0" fontId="22" fillId="3" borderId="4" xfId="0" applyFont="1" applyFill="1" applyBorder="1" applyAlignment="1">
      <alignment horizontal="center" vertical="center"/>
    </xf>
    <xf numFmtId="0" fontId="22" fillId="0" borderId="0" xfId="0" applyFont="1" applyBorder="1" applyAlignment="1">
      <alignment horizontal="center" vertical="center"/>
    </xf>
    <xf numFmtId="0" fontId="22" fillId="0" borderId="5" xfId="0" applyFont="1" applyBorder="1" applyAlignment="1">
      <alignment horizontal="center" vertical="center"/>
    </xf>
    <xf numFmtId="0" fontId="14" fillId="0" borderId="4" xfId="0" applyFont="1" applyBorder="1" applyAlignment="1">
      <alignment horizontal="center" vertical="center"/>
    </xf>
    <xf numFmtId="0" fontId="14" fillId="0" borderId="4" xfId="0" applyFont="1" applyBorder="1">
      <alignment vertical="center"/>
    </xf>
    <xf numFmtId="0" fontId="14" fillId="3" borderId="6" xfId="0" applyFont="1" applyFill="1" applyBorder="1">
      <alignment vertical="center"/>
    </xf>
    <xf numFmtId="0" fontId="23" fillId="0" borderId="0" xfId="0" applyFont="1" applyAlignment="1">
      <alignment horizontal="center" vertical="center"/>
    </xf>
    <xf numFmtId="0" fontId="11" fillId="3" borderId="1" xfId="0" applyFont="1" applyFill="1" applyBorder="1" applyAlignment="1">
      <alignment horizontal="center" vertical="center" wrapText="1"/>
    </xf>
    <xf numFmtId="0" fontId="11" fillId="0" borderId="2" xfId="0" applyFont="1" applyBorder="1" applyAlignment="1">
      <alignment horizontal="center" vertical="center" wrapText="1"/>
    </xf>
    <xf numFmtId="176" fontId="11" fillId="0" borderId="3" xfId="0" applyNumberFormat="1" applyFont="1" applyBorder="1" applyAlignment="1">
      <alignment horizontal="center" vertical="center" wrapText="1"/>
    </xf>
    <xf numFmtId="176" fontId="11" fillId="5" borderId="0" xfId="0" applyNumberFormat="1" applyFont="1" applyFill="1" applyAlignment="1">
      <alignment horizontal="center" vertical="center" wrapText="1"/>
    </xf>
    <xf numFmtId="176" fontId="11" fillId="0" borderId="0" xfId="0" applyNumberFormat="1" applyFont="1" applyAlignment="1">
      <alignment horizontal="center" vertical="center" wrapText="1"/>
    </xf>
    <xf numFmtId="178" fontId="11" fillId="5" borderId="0" xfId="0" applyNumberFormat="1" applyFont="1" applyFill="1" applyAlignment="1">
      <alignment horizontal="center" vertical="center" wrapText="1"/>
    </xf>
    <xf numFmtId="178" fontId="11" fillId="0" borderId="0" xfId="0" applyNumberFormat="1" applyFont="1" applyAlignment="1">
      <alignment horizontal="center" vertical="center" wrapText="1"/>
    </xf>
    <xf numFmtId="0" fontId="9" fillId="0" borderId="0" xfId="0" applyFont="1" applyAlignment="1">
      <alignment horizontal="left" vertical="center"/>
    </xf>
    <xf numFmtId="0" fontId="30" fillId="0" borderId="0" xfId="0" applyFont="1">
      <alignment vertical="center"/>
    </xf>
    <xf numFmtId="0" fontId="30" fillId="0" borderId="0" xfId="0" applyFont="1" applyAlignment="1">
      <alignment horizontal="left" vertical="center"/>
    </xf>
    <xf numFmtId="0" fontId="31" fillId="0" borderId="0" xfId="0" applyFont="1" applyAlignment="1">
      <alignment horizontal="center" vertical="center"/>
    </xf>
    <xf numFmtId="0" fontId="31" fillId="0" borderId="0" xfId="0" applyFont="1" applyAlignment="1">
      <alignment horizontal="left" vertical="center"/>
    </xf>
    <xf numFmtId="49" fontId="15" fillId="0" borderId="0" xfId="0" applyNumberFormat="1" applyFont="1" applyAlignment="1">
      <alignment horizontal="left" vertical="center"/>
    </xf>
    <xf numFmtId="0" fontId="15" fillId="0" borderId="0" xfId="0" applyFont="1" applyAlignment="1">
      <alignment horizontal="left" vertical="center"/>
    </xf>
    <xf numFmtId="0" fontId="32" fillId="0" borderId="0" xfId="0" applyFont="1" applyAlignment="1">
      <alignment horizontal="left" vertical="center"/>
    </xf>
    <xf numFmtId="0" fontId="33" fillId="0" borderId="0" xfId="0" applyFont="1" applyAlignment="1">
      <alignment horizontal="left" vertical="center"/>
    </xf>
    <xf numFmtId="0" fontId="34" fillId="0" borderId="0" xfId="0" applyFont="1" applyAlignment="1">
      <alignment horizontal="left" vertical="center"/>
    </xf>
    <xf numFmtId="177" fontId="29" fillId="0" borderId="0" xfId="0" applyNumberFormat="1" applyFont="1" applyAlignment="1">
      <alignment horizontal="left" vertical="center"/>
    </xf>
    <xf numFmtId="177" fontId="36" fillId="3" borderId="1" xfId="0" applyNumberFormat="1" applyFont="1" applyFill="1" applyBorder="1" applyAlignment="1">
      <alignment horizontal="center" vertical="center"/>
    </xf>
    <xf numFmtId="177" fontId="37" fillId="0" borderId="2" xfId="0" applyNumberFormat="1" applyFont="1" applyBorder="1" applyAlignment="1">
      <alignment horizontal="center" vertical="center"/>
    </xf>
    <xf numFmtId="177" fontId="37" fillId="0" borderId="3" xfId="0" applyNumberFormat="1" applyFont="1" applyBorder="1" applyAlignment="1">
      <alignment horizontal="center" vertical="center"/>
    </xf>
    <xf numFmtId="0" fontId="38" fillId="3" borderId="1" xfId="0" applyFont="1" applyFill="1" applyBorder="1" applyAlignment="1">
      <alignment horizontal="center" vertical="center" wrapText="1"/>
    </xf>
    <xf numFmtId="0" fontId="38" fillId="0" borderId="2" xfId="0" applyFont="1" applyBorder="1" applyAlignment="1">
      <alignment horizontal="center" vertical="center" wrapText="1"/>
    </xf>
    <xf numFmtId="176" fontId="38" fillId="0" borderId="3" xfId="0" applyNumberFormat="1" applyFont="1" applyBorder="1" applyAlignment="1">
      <alignment horizontal="center" vertical="center" wrapText="1"/>
    </xf>
    <xf numFmtId="177" fontId="29" fillId="0" borderId="0" xfId="0" applyNumberFormat="1" applyFont="1" applyBorder="1" applyAlignment="1">
      <alignment horizontal="left" vertical="center"/>
    </xf>
    <xf numFmtId="49" fontId="15" fillId="0" borderId="0" xfId="0" applyNumberFormat="1" applyFont="1" applyBorder="1" applyAlignment="1">
      <alignment horizontal="left" vertical="center"/>
    </xf>
    <xf numFmtId="49" fontId="15" fillId="0" borderId="10" xfId="0" applyNumberFormat="1" applyFont="1" applyBorder="1" applyAlignment="1">
      <alignment horizontal="left" vertical="center"/>
    </xf>
    <xf numFmtId="0" fontId="14" fillId="3" borderId="11" xfId="0" applyFont="1" applyFill="1" applyBorder="1" applyAlignment="1">
      <alignment horizontal="center" vertical="center"/>
    </xf>
    <xf numFmtId="0" fontId="14" fillId="0" borderId="10" xfId="0" applyFont="1" applyBorder="1" applyAlignment="1">
      <alignment horizontal="center" vertical="center"/>
    </xf>
    <xf numFmtId="0" fontId="14" fillId="0" borderId="9" xfId="0" applyFont="1" applyBorder="1" applyAlignment="1">
      <alignment horizontal="center" vertical="center"/>
    </xf>
    <xf numFmtId="49" fontId="29" fillId="0" borderId="13" xfId="0" applyNumberFormat="1" applyFont="1" applyBorder="1" applyAlignment="1">
      <alignment horizontal="left" vertical="center"/>
    </xf>
    <xf numFmtId="177" fontId="29" fillId="0" borderId="13" xfId="0" applyNumberFormat="1" applyFont="1" applyBorder="1" applyAlignment="1">
      <alignment horizontal="left" vertical="center"/>
    </xf>
    <xf numFmtId="0" fontId="30" fillId="0" borderId="13" xfId="0" applyFont="1" applyBorder="1" applyAlignment="1">
      <alignment horizontal="left" vertical="center"/>
    </xf>
    <xf numFmtId="0" fontId="30" fillId="0" borderId="0" xfId="0" applyFont="1" applyBorder="1" applyAlignment="1">
      <alignment horizontal="left" vertical="center"/>
    </xf>
    <xf numFmtId="0" fontId="29" fillId="0" borderId="0" xfId="0" applyFont="1" applyBorder="1" applyAlignment="1">
      <alignment horizontal="left" vertical="center"/>
    </xf>
    <xf numFmtId="177" fontId="14" fillId="3" borderId="11" xfId="0" applyNumberFormat="1" applyFont="1" applyFill="1" applyBorder="1">
      <alignment vertical="center"/>
    </xf>
    <xf numFmtId="177" fontId="14" fillId="0" borderId="10" xfId="0" applyNumberFormat="1" applyFont="1" applyBorder="1">
      <alignment vertical="center"/>
    </xf>
    <xf numFmtId="177" fontId="14" fillId="0" borderId="9" xfId="0" applyNumberFormat="1" applyFont="1" applyBorder="1">
      <alignment vertical="center"/>
    </xf>
    <xf numFmtId="0" fontId="14" fillId="5" borderId="11" xfId="0" applyFont="1" applyFill="1" applyBorder="1">
      <alignment vertical="center"/>
    </xf>
    <xf numFmtId="0" fontId="14" fillId="0" borderId="10" xfId="0" applyFont="1" applyBorder="1">
      <alignment vertical="center"/>
    </xf>
    <xf numFmtId="0" fontId="14" fillId="0" borderId="9" xfId="0" applyFont="1" applyBorder="1">
      <alignment vertical="center"/>
    </xf>
    <xf numFmtId="0" fontId="14" fillId="3" borderId="11" xfId="0" applyFont="1" applyFill="1" applyBorder="1">
      <alignment vertical="center"/>
    </xf>
    <xf numFmtId="49" fontId="35" fillId="0" borderId="13" xfId="0" applyNumberFormat="1" applyFont="1" applyBorder="1" applyAlignment="1">
      <alignment horizontal="left" vertical="center"/>
    </xf>
    <xf numFmtId="0" fontId="35" fillId="0" borderId="13" xfId="0" applyFont="1" applyBorder="1" applyAlignment="1">
      <alignment horizontal="left" vertical="center"/>
    </xf>
    <xf numFmtId="177" fontId="14" fillId="3" borderId="14" xfId="0" applyNumberFormat="1" applyFont="1" applyFill="1" applyBorder="1">
      <alignment vertical="center"/>
    </xf>
    <xf numFmtId="177" fontId="14" fillId="0" borderId="13" xfId="0" applyNumberFormat="1" applyFont="1" applyBorder="1">
      <alignment vertical="center"/>
    </xf>
    <xf numFmtId="177" fontId="14" fillId="0" borderId="12" xfId="0" applyNumberFormat="1" applyFont="1" applyBorder="1">
      <alignment vertical="center"/>
    </xf>
    <xf numFmtId="0" fontId="14" fillId="5" borderId="14" xfId="0" applyFont="1" applyFill="1" applyBorder="1">
      <alignment vertical="center"/>
    </xf>
    <xf numFmtId="0" fontId="14" fillId="0" borderId="13" xfId="0" applyFont="1" applyBorder="1">
      <alignment vertical="center"/>
    </xf>
    <xf numFmtId="0" fontId="14" fillId="0" borderId="12" xfId="0" applyFont="1" applyBorder="1">
      <alignment vertical="center"/>
    </xf>
    <xf numFmtId="49" fontId="15" fillId="0" borderId="13" xfId="0" applyNumberFormat="1" applyFont="1" applyBorder="1" applyAlignment="1">
      <alignment horizontal="left" vertical="center"/>
    </xf>
    <xf numFmtId="0" fontId="30" fillId="0" borderId="10" xfId="0" applyFont="1" applyBorder="1" applyAlignment="1">
      <alignment horizontal="left" vertical="center"/>
    </xf>
    <xf numFmtId="0" fontId="29" fillId="0" borderId="13" xfId="0" applyFont="1" applyBorder="1" applyAlignment="1">
      <alignment horizontal="left" vertical="center"/>
    </xf>
    <xf numFmtId="0" fontId="15" fillId="0" borderId="13" xfId="0" applyFont="1" applyBorder="1" applyAlignment="1">
      <alignment horizontal="left" vertical="center"/>
    </xf>
    <xf numFmtId="49" fontId="29" fillId="0" borderId="15" xfId="0" applyNumberFormat="1" applyFont="1" applyBorder="1" applyAlignment="1">
      <alignment horizontal="left" vertical="center"/>
    </xf>
    <xf numFmtId="177" fontId="29" fillId="0" borderId="15" xfId="0" applyNumberFormat="1" applyFont="1" applyBorder="1" applyAlignment="1">
      <alignment horizontal="left" vertical="center"/>
    </xf>
    <xf numFmtId="0" fontId="11" fillId="0" borderId="15" xfId="0" applyFont="1" applyFill="1" applyBorder="1">
      <alignment vertical="center"/>
    </xf>
    <xf numFmtId="49" fontId="35" fillId="0" borderId="10" xfId="0" applyNumberFormat="1" applyFont="1" applyBorder="1" applyAlignment="1">
      <alignment horizontal="left" vertical="center"/>
    </xf>
    <xf numFmtId="0" fontId="35" fillId="0" borderId="10" xfId="0" applyFont="1" applyBorder="1" applyAlignment="1">
      <alignment horizontal="left" vertical="center"/>
    </xf>
    <xf numFmtId="0" fontId="14" fillId="5" borderId="11" xfId="0" applyFont="1" applyFill="1" applyBorder="1" applyAlignment="1">
      <alignment horizontal="center" vertical="center"/>
    </xf>
    <xf numFmtId="0" fontId="39" fillId="0" borderId="0" xfId="0" applyFont="1" applyAlignment="1">
      <alignment horizontal="left" vertical="center"/>
    </xf>
    <xf numFmtId="0" fontId="40" fillId="0" borderId="0" xfId="0" applyFont="1" applyAlignment="1">
      <alignment horizontal="left" vertical="center"/>
    </xf>
    <xf numFmtId="0" fontId="3" fillId="0" borderId="0" xfId="0" applyFont="1">
      <alignment vertical="center"/>
    </xf>
    <xf numFmtId="0" fontId="2" fillId="0" borderId="0" xfId="0" applyFont="1" applyAlignment="1">
      <alignment horizontal="left" vertical="center"/>
    </xf>
    <xf numFmtId="0" fontId="41" fillId="7" borderId="0" xfId="1" applyFill="1" applyAlignment="1">
      <alignment vertical="center" wrapText="1"/>
    </xf>
    <xf numFmtId="0" fontId="2" fillId="0" borderId="0" xfId="0" applyFont="1" applyAlignment="1">
      <alignment horizontal="right" vertical="center"/>
    </xf>
    <xf numFmtId="0" fontId="41" fillId="0" borderId="0" xfId="1">
      <alignment vertical="center"/>
    </xf>
    <xf numFmtId="0" fontId="2" fillId="0" borderId="0" xfId="0" applyFont="1" applyAlignment="1">
      <alignment horizontal="center" vertical="center"/>
    </xf>
    <xf numFmtId="0" fontId="19" fillId="0" borderId="0" xfId="0" applyFont="1">
      <alignment vertical="center"/>
    </xf>
    <xf numFmtId="0" fontId="0" fillId="0" borderId="0" xfId="0" applyAlignment="1">
      <alignment horizontal="center" vertical="center"/>
    </xf>
    <xf numFmtId="177" fontId="23" fillId="3" borderId="0" xfId="0" applyNumberFormat="1" applyFont="1" applyFill="1" applyAlignment="1">
      <alignment horizontal="center" vertical="center"/>
    </xf>
    <xf numFmtId="177" fontId="24" fillId="0" borderId="0" xfId="0" applyNumberFormat="1" applyFont="1" applyAlignment="1">
      <alignment horizontal="center" vertical="center"/>
    </xf>
    <xf numFmtId="0" fontId="11" fillId="3" borderId="0" xfId="0" applyFont="1" applyFill="1" applyAlignment="1">
      <alignment horizontal="center" vertical="center" wrapText="1"/>
    </xf>
    <xf numFmtId="0" fontId="11" fillId="0" borderId="0" xfId="0" applyFont="1" applyAlignment="1">
      <alignment horizontal="center" vertical="center" wrapText="1"/>
    </xf>
    <xf numFmtId="176" fontId="11" fillId="3" borderId="0" xfId="0" applyNumberFormat="1" applyFont="1" applyFill="1" applyAlignment="1">
      <alignment horizontal="center" vertical="center" wrapText="1"/>
    </xf>
    <xf numFmtId="178" fontId="11" fillId="3" borderId="0" xfId="0" applyNumberFormat="1" applyFont="1" applyFill="1" applyAlignment="1">
      <alignment horizontal="center" vertical="center" wrapText="1"/>
    </xf>
    <xf numFmtId="0" fontId="11" fillId="3" borderId="0" xfId="0" applyFont="1" applyFill="1" applyAlignment="1">
      <alignment horizontal="center" vertical="center"/>
    </xf>
    <xf numFmtId="0" fontId="11" fillId="0" borderId="0" xfId="0" applyFont="1" applyAlignment="1">
      <alignment horizontal="center" vertical="center"/>
    </xf>
    <xf numFmtId="177" fontId="11" fillId="3" borderId="0" xfId="0" applyNumberFormat="1" applyFont="1" applyFill="1" applyAlignment="1">
      <alignment horizontal="center" vertical="center"/>
    </xf>
    <xf numFmtId="177" fontId="11" fillId="0" borderId="0" xfId="0" applyNumberFormat="1" applyFont="1" applyAlignment="1">
      <alignment horizontal="center" vertical="center"/>
    </xf>
    <xf numFmtId="0" fontId="11" fillId="0" borderId="0" xfId="0" applyFont="1" applyFill="1" applyAlignment="1">
      <alignment horizontal="center" vertical="center"/>
    </xf>
    <xf numFmtId="49" fontId="14" fillId="0" borderId="0" xfId="0" applyNumberFormat="1" applyFont="1" applyAlignment="1">
      <alignment vertical="center"/>
    </xf>
    <xf numFmtId="49" fontId="14" fillId="0" borderId="0" xfId="0" applyNumberFormat="1" applyFont="1" applyFill="1" applyAlignment="1">
      <alignment vertical="center"/>
    </xf>
    <xf numFmtId="0" fontId="18" fillId="0" borderId="0" xfId="0" applyFont="1" applyAlignment="1">
      <alignment vertical="center"/>
    </xf>
    <xf numFmtId="177" fontId="18" fillId="0" borderId="0" xfId="0" applyNumberFormat="1" applyFont="1">
      <alignment vertical="center"/>
    </xf>
    <xf numFmtId="180" fontId="14" fillId="0" borderId="0" xfId="0" applyNumberFormat="1" applyFont="1">
      <alignment vertical="center"/>
    </xf>
    <xf numFmtId="180" fontId="18" fillId="0" borderId="0" xfId="0" applyNumberFormat="1" applyFont="1" applyAlignment="1">
      <alignment vertical="center"/>
    </xf>
    <xf numFmtId="180" fontId="14" fillId="0" borderId="0" xfId="0" applyNumberFormat="1" applyFont="1" applyFill="1">
      <alignment vertical="center"/>
    </xf>
    <xf numFmtId="180" fontId="14" fillId="0" borderId="0" xfId="0" applyNumberFormat="1" applyFont="1" applyAlignment="1">
      <alignment horizontal="center" vertical="center"/>
    </xf>
    <xf numFmtId="49" fontId="23" fillId="0" borderId="0" xfId="0" applyNumberFormat="1" applyFont="1" applyAlignment="1">
      <alignment vertical="center"/>
    </xf>
    <xf numFmtId="49" fontId="23" fillId="0" borderId="0" xfId="0" applyNumberFormat="1" applyFont="1" applyAlignment="1">
      <alignment horizontal="center" vertical="center"/>
    </xf>
    <xf numFmtId="49" fontId="23" fillId="0" borderId="0" xfId="0" applyNumberFormat="1" applyFont="1">
      <alignment vertical="center"/>
    </xf>
    <xf numFmtId="0" fontId="23" fillId="0" borderId="0" xfId="0" applyFont="1">
      <alignment vertical="center"/>
    </xf>
    <xf numFmtId="49" fontId="23" fillId="0" borderId="0" xfId="0" applyNumberFormat="1" applyFont="1" applyFill="1" applyAlignment="1">
      <alignment vertical="center"/>
    </xf>
    <xf numFmtId="0" fontId="23" fillId="0" borderId="0" xfId="0" applyFont="1" applyFill="1" applyAlignment="1">
      <alignment horizontal="center" vertical="center"/>
    </xf>
    <xf numFmtId="49" fontId="23" fillId="0" borderId="0" xfId="0" applyNumberFormat="1" applyFont="1" applyFill="1">
      <alignment vertical="center"/>
    </xf>
    <xf numFmtId="0" fontId="23" fillId="0" borderId="0" xfId="0" applyFont="1" applyFill="1" applyAlignment="1">
      <alignment vertical="center" wrapText="1"/>
    </xf>
    <xf numFmtId="0" fontId="23" fillId="0" borderId="0" xfId="0" applyFont="1" applyFill="1">
      <alignment vertical="center"/>
    </xf>
    <xf numFmtId="0" fontId="23" fillId="0" borderId="0" xfId="0" applyFont="1" applyAlignment="1">
      <alignment vertical="center" wrapText="1"/>
    </xf>
    <xf numFmtId="180" fontId="23" fillId="0" borderId="0" xfId="0" applyNumberFormat="1" applyFont="1">
      <alignment vertical="center"/>
    </xf>
    <xf numFmtId="49" fontId="31" fillId="0" borderId="0" xfId="0" applyNumberFormat="1" applyFont="1">
      <alignment vertical="center"/>
    </xf>
    <xf numFmtId="49" fontId="31" fillId="0" borderId="0" xfId="0" applyNumberFormat="1" applyFont="1" applyAlignment="1">
      <alignment vertical="center"/>
    </xf>
    <xf numFmtId="49" fontId="31" fillId="0" borderId="0" xfId="0" applyNumberFormat="1" applyFont="1" applyFill="1">
      <alignment vertical="center"/>
    </xf>
    <xf numFmtId="180" fontId="31" fillId="0" borderId="0" xfId="0" applyNumberFormat="1" applyFont="1" applyFill="1">
      <alignment vertical="center"/>
    </xf>
    <xf numFmtId="180" fontId="31" fillId="0" borderId="0" xfId="0" applyNumberFormat="1" applyFont="1">
      <alignment vertical="center"/>
    </xf>
    <xf numFmtId="180" fontId="31" fillId="0" borderId="0" xfId="0" applyNumberFormat="1" applyFont="1" applyAlignment="1">
      <alignment horizontal="center" vertical="center"/>
    </xf>
    <xf numFmtId="0" fontId="31" fillId="0" borderId="0" xfId="0" applyFont="1" applyAlignment="1">
      <alignment vertical="center"/>
    </xf>
    <xf numFmtId="49" fontId="31" fillId="4" borderId="0" xfId="0" applyNumberFormat="1" applyFont="1" applyFill="1">
      <alignment vertical="center"/>
    </xf>
    <xf numFmtId="49" fontId="31" fillId="4" borderId="0" xfId="0" applyNumberFormat="1" applyFont="1" applyFill="1" applyAlignment="1">
      <alignment vertical="center"/>
    </xf>
    <xf numFmtId="49" fontId="31" fillId="4" borderId="0" xfId="0" applyNumberFormat="1" applyFont="1" applyFill="1" applyAlignment="1">
      <alignment vertical="center" wrapText="1"/>
    </xf>
    <xf numFmtId="177" fontId="31" fillId="4" borderId="0" xfId="0" applyNumberFormat="1" applyFont="1" applyFill="1" applyAlignment="1">
      <alignment vertical="center" wrapText="1"/>
    </xf>
    <xf numFmtId="177" fontId="31" fillId="4" borderId="0" xfId="0" applyNumberFormat="1" applyFont="1" applyFill="1">
      <alignment vertical="center"/>
    </xf>
    <xf numFmtId="177" fontId="31" fillId="4" borderId="0" xfId="0" applyNumberFormat="1" applyFont="1" applyFill="1" applyAlignment="1">
      <alignment horizontal="right" vertical="center"/>
    </xf>
    <xf numFmtId="177" fontId="31" fillId="4" borderId="0" xfId="0" applyNumberFormat="1" applyFont="1" applyFill="1" applyAlignment="1">
      <alignment horizontal="center" vertical="center"/>
    </xf>
    <xf numFmtId="0" fontId="31" fillId="4" borderId="0" xfId="0" applyFont="1" applyFill="1">
      <alignment vertical="center"/>
    </xf>
    <xf numFmtId="0" fontId="31" fillId="4" borderId="0" xfId="0" applyFont="1" applyFill="1" applyAlignment="1">
      <alignment horizontal="center" vertical="center"/>
    </xf>
    <xf numFmtId="0" fontId="31" fillId="4" borderId="0" xfId="0" applyFont="1" applyFill="1" applyAlignment="1">
      <alignment vertical="center"/>
    </xf>
    <xf numFmtId="177" fontId="23" fillId="4" borderId="0" xfId="0" applyNumberFormat="1" applyFont="1" applyFill="1">
      <alignment vertical="center"/>
    </xf>
    <xf numFmtId="0" fontId="23" fillId="4" borderId="0" xfId="0" applyFont="1" applyFill="1">
      <alignment vertical="center"/>
    </xf>
    <xf numFmtId="180" fontId="31" fillId="0" borderId="0" xfId="0" applyNumberFormat="1" applyFont="1" applyFill="1" applyAlignment="1">
      <alignment horizontal="right" vertical="center"/>
    </xf>
    <xf numFmtId="0" fontId="23" fillId="0" borderId="0" xfId="0" applyFont="1" applyAlignment="1">
      <alignment horizontal="center" vertical="center"/>
    </xf>
    <xf numFmtId="0" fontId="31" fillId="0" borderId="0" xfId="0" applyFont="1" applyAlignment="1">
      <alignment horizontal="center" vertical="center"/>
    </xf>
    <xf numFmtId="49" fontId="43" fillId="0" borderId="0" xfId="0" applyNumberFormat="1" applyFont="1" applyAlignment="1">
      <alignment vertical="center"/>
    </xf>
    <xf numFmtId="0" fontId="23" fillId="0" borderId="19" xfId="0" applyFont="1" applyBorder="1">
      <alignment vertical="center"/>
    </xf>
    <xf numFmtId="0" fontId="23" fillId="0" borderId="18" xfId="0" applyFont="1" applyBorder="1" applyAlignment="1">
      <alignment vertical="center"/>
    </xf>
    <xf numFmtId="49" fontId="31" fillId="4" borderId="18" xfId="0" applyNumberFormat="1" applyFont="1" applyFill="1" applyBorder="1" applyAlignment="1">
      <alignment vertical="center"/>
    </xf>
    <xf numFmtId="49" fontId="31" fillId="4" borderId="18" xfId="0" applyNumberFormat="1" applyFont="1" applyFill="1" applyBorder="1" applyAlignment="1">
      <alignment vertical="center" wrapText="1"/>
    </xf>
    <xf numFmtId="49" fontId="31" fillId="0" borderId="18" xfId="0" applyNumberFormat="1" applyFont="1" applyBorder="1" applyAlignment="1">
      <alignment vertical="center"/>
    </xf>
    <xf numFmtId="49" fontId="43" fillId="0" borderId="18" xfId="0" applyNumberFormat="1" applyFont="1" applyBorder="1" applyAlignment="1">
      <alignment vertical="center"/>
    </xf>
    <xf numFmtId="0" fontId="23" fillId="0" borderId="18" xfId="0" applyFont="1" applyFill="1" applyBorder="1" applyAlignment="1">
      <alignment horizontal="center" vertical="center"/>
    </xf>
    <xf numFmtId="49" fontId="31" fillId="4" borderId="18" xfId="0" applyNumberFormat="1" applyFont="1" applyFill="1" applyBorder="1">
      <alignment vertical="center"/>
    </xf>
    <xf numFmtId="49" fontId="31" fillId="0" borderId="18" xfId="0" applyNumberFormat="1" applyFont="1" applyFill="1" applyBorder="1">
      <alignment vertical="center"/>
    </xf>
    <xf numFmtId="0" fontId="23" fillId="0" borderId="18" xfId="0" applyFont="1" applyBorder="1">
      <alignment vertical="center"/>
    </xf>
    <xf numFmtId="178" fontId="31" fillId="4" borderId="18" xfId="0" applyNumberFormat="1" applyFont="1" applyFill="1" applyBorder="1" applyAlignment="1">
      <alignment vertical="center" wrapText="1"/>
    </xf>
    <xf numFmtId="178" fontId="31" fillId="0" borderId="18" xfId="0" applyNumberFormat="1" applyFont="1" applyFill="1" applyBorder="1">
      <alignment vertical="center"/>
    </xf>
    <xf numFmtId="178" fontId="23" fillId="0" borderId="18" xfId="0" applyNumberFormat="1" applyFont="1" applyBorder="1">
      <alignment vertical="center"/>
    </xf>
    <xf numFmtId="178" fontId="31" fillId="4" borderId="18" xfId="0" applyNumberFormat="1" applyFont="1" applyFill="1" applyBorder="1">
      <alignment vertical="center"/>
    </xf>
    <xf numFmtId="178" fontId="31" fillId="4" borderId="18" xfId="0" applyNumberFormat="1" applyFont="1" applyFill="1" applyBorder="1" applyAlignment="1">
      <alignment horizontal="right" vertical="center"/>
    </xf>
    <xf numFmtId="178" fontId="31" fillId="0" borderId="18" xfId="0" applyNumberFormat="1" applyFont="1" applyFill="1" applyBorder="1" applyAlignment="1">
      <alignment horizontal="left" vertical="center"/>
    </xf>
    <xf numFmtId="178" fontId="23" fillId="0" borderId="18" xfId="0" applyNumberFormat="1" applyFont="1" applyBorder="1" applyAlignment="1">
      <alignment horizontal="left" vertical="center"/>
    </xf>
    <xf numFmtId="178" fontId="31" fillId="4" borderId="18" xfId="0" applyNumberFormat="1" applyFont="1" applyFill="1" applyBorder="1" applyAlignment="1">
      <alignment horizontal="left" vertical="center"/>
    </xf>
    <xf numFmtId="178" fontId="31" fillId="4" borderId="18" xfId="0" applyNumberFormat="1" applyFont="1" applyFill="1" applyBorder="1" applyAlignment="1">
      <alignment horizontal="center" vertical="center"/>
    </xf>
    <xf numFmtId="178" fontId="31" fillId="0" borderId="18" xfId="0" applyNumberFormat="1" applyFont="1" applyFill="1" applyBorder="1" applyAlignment="1">
      <alignment horizontal="right" vertical="center"/>
    </xf>
    <xf numFmtId="0" fontId="23" fillId="0" borderId="18" xfId="0" applyFont="1" applyBorder="1" applyAlignment="1">
      <alignment horizontal="center" vertical="center"/>
    </xf>
    <xf numFmtId="177" fontId="31" fillId="4" borderId="18" xfId="0" applyNumberFormat="1" applyFont="1" applyFill="1" applyBorder="1">
      <alignment vertical="center"/>
    </xf>
    <xf numFmtId="180" fontId="31" fillId="0" borderId="18" xfId="0" applyNumberFormat="1" applyFont="1" applyBorder="1">
      <alignment vertical="center"/>
    </xf>
    <xf numFmtId="0" fontId="31" fillId="4" borderId="18" xfId="0" applyFont="1" applyFill="1" applyBorder="1">
      <alignment vertical="center"/>
    </xf>
    <xf numFmtId="0" fontId="31" fillId="4" borderId="18" xfId="0" applyFont="1" applyFill="1" applyBorder="1" applyAlignment="1">
      <alignment horizontal="center" vertical="center"/>
    </xf>
    <xf numFmtId="180" fontId="31" fillId="0" borderId="18" xfId="0" applyNumberFormat="1" applyFont="1" applyBorder="1" applyAlignment="1">
      <alignment horizontal="center" vertical="center"/>
    </xf>
    <xf numFmtId="177" fontId="31" fillId="4" borderId="18" xfId="0" applyNumberFormat="1" applyFont="1" applyFill="1" applyBorder="1" applyAlignment="1">
      <alignment horizontal="center" vertical="center"/>
    </xf>
    <xf numFmtId="0" fontId="31" fillId="0" borderId="18" xfId="0" applyFont="1" applyBorder="1" applyAlignment="1">
      <alignment horizontal="center" vertical="center"/>
    </xf>
    <xf numFmtId="177" fontId="23" fillId="0" borderId="18" xfId="0" applyNumberFormat="1" applyFont="1" applyBorder="1" applyAlignment="1">
      <alignment horizontal="center" vertical="center"/>
    </xf>
    <xf numFmtId="177" fontId="31" fillId="0" borderId="18" xfId="0" applyNumberFormat="1" applyFont="1" applyBorder="1" applyAlignment="1">
      <alignment horizontal="center" vertical="center"/>
    </xf>
    <xf numFmtId="0" fontId="43" fillId="4" borderId="18" xfId="0" applyFont="1" applyFill="1" applyBorder="1" applyAlignment="1">
      <alignment horizontal="center" vertical="center"/>
    </xf>
    <xf numFmtId="180" fontId="43" fillId="0" borderId="18" xfId="0" applyNumberFormat="1" applyFont="1" applyBorder="1" applyAlignment="1">
      <alignment horizontal="center" vertical="center"/>
    </xf>
    <xf numFmtId="177" fontId="43" fillId="4" borderId="18" xfId="0" applyNumberFormat="1" applyFont="1" applyFill="1" applyBorder="1" applyAlignment="1">
      <alignment horizontal="center" vertical="center"/>
    </xf>
    <xf numFmtId="0" fontId="24" fillId="0" borderId="18" xfId="0" applyFont="1" applyBorder="1" applyAlignment="1">
      <alignment horizontal="center" vertical="center"/>
    </xf>
    <xf numFmtId="0" fontId="11" fillId="0" borderId="18" xfId="0" applyFont="1" applyBorder="1" applyAlignment="1">
      <alignment horizontal="center" vertical="center"/>
    </xf>
    <xf numFmtId="0" fontId="45" fillId="0" borderId="0" xfId="0" applyFont="1" applyAlignment="1">
      <alignment horizontal="justify" vertical="center"/>
    </xf>
    <xf numFmtId="0" fontId="0" fillId="0" borderId="0" xfId="0" applyAlignment="1">
      <alignment horizontal="center" vertical="center"/>
    </xf>
    <xf numFmtId="49" fontId="3" fillId="0" borderId="0" xfId="0" applyNumberFormat="1" applyFont="1" applyAlignment="1">
      <alignment horizontal="left" vertical="top" wrapText="1"/>
    </xf>
    <xf numFmtId="0" fontId="3" fillId="0" borderId="0" xfId="0" applyFont="1" applyAlignment="1">
      <alignment horizontal="left" vertical="center" wrapText="1"/>
    </xf>
    <xf numFmtId="0" fontId="2" fillId="0" borderId="0" xfId="0" applyFont="1" applyAlignment="1">
      <alignment horizontal="left" vertical="center"/>
    </xf>
    <xf numFmtId="0" fontId="2" fillId="0" borderId="0" xfId="0" applyFont="1" applyAlignment="1">
      <alignment horizontal="center" vertical="center"/>
    </xf>
    <xf numFmtId="0" fontId="4" fillId="0" borderId="0" xfId="0" applyFont="1" applyAlignment="1">
      <alignment horizontal="center" vertical="center" wrapText="1"/>
    </xf>
    <xf numFmtId="0" fontId="9" fillId="0" borderId="0" xfId="0" applyFont="1" applyAlignment="1">
      <alignment horizontal="left" vertical="center"/>
    </xf>
    <xf numFmtId="0" fontId="2" fillId="0" borderId="0" xfId="0" applyFont="1" applyAlignment="1">
      <alignment horizontal="left" vertical="center" wrapText="1"/>
    </xf>
    <xf numFmtId="49" fontId="2" fillId="0" borderId="0" xfId="0" applyNumberFormat="1" applyFont="1" applyAlignment="1">
      <alignment horizontal="left" vertical="center" wrapText="1"/>
    </xf>
    <xf numFmtId="0" fontId="14" fillId="0" borderId="0" xfId="0" applyFont="1" applyAlignment="1">
      <alignment horizontal="center" vertical="center"/>
    </xf>
    <xf numFmtId="0" fontId="15" fillId="0" borderId="0" xfId="0" applyFont="1" applyAlignment="1">
      <alignment horizontal="center" vertical="center"/>
    </xf>
    <xf numFmtId="177" fontId="15" fillId="0" borderId="0" xfId="0" applyNumberFormat="1" applyFont="1" applyAlignment="1">
      <alignment horizontal="center" vertical="center"/>
    </xf>
    <xf numFmtId="177" fontId="14" fillId="0" borderId="0" xfId="0" applyNumberFormat="1" applyFont="1" applyAlignment="1">
      <alignment horizontal="center" vertical="center"/>
    </xf>
    <xf numFmtId="177" fontId="22" fillId="0" borderId="0" xfId="0" applyNumberFormat="1" applyFont="1" applyFill="1" applyAlignment="1">
      <alignment horizontal="center" vertical="center"/>
    </xf>
    <xf numFmtId="177" fontId="22" fillId="0" borderId="0" xfId="0" applyNumberFormat="1" applyFont="1" applyAlignment="1">
      <alignment horizontal="center" vertical="center"/>
    </xf>
    <xf numFmtId="0" fontId="22" fillId="5" borderId="0" xfId="0" applyFont="1" applyFill="1" applyAlignment="1">
      <alignment horizontal="center" vertical="center"/>
    </xf>
    <xf numFmtId="177" fontId="14" fillId="3" borderId="0" xfId="0" applyNumberFormat="1" applyFont="1" applyFill="1" applyAlignment="1">
      <alignment horizontal="center" vertical="center"/>
    </xf>
    <xf numFmtId="0" fontId="14" fillId="0" borderId="0" xfId="0" applyFont="1" applyFill="1" applyAlignment="1">
      <alignment horizontal="center" vertical="center"/>
    </xf>
    <xf numFmtId="0" fontId="14" fillId="3" borderId="0" xfId="0" applyFont="1" applyFill="1" applyAlignment="1">
      <alignment horizontal="center" vertical="center"/>
    </xf>
    <xf numFmtId="0" fontId="14" fillId="5" borderId="0" xfId="0" applyFont="1" applyFill="1" applyAlignment="1">
      <alignment horizontal="center" vertical="center"/>
    </xf>
    <xf numFmtId="0" fontId="22" fillId="0" borderId="0" xfId="0" applyFont="1" applyAlignment="1">
      <alignment horizontal="center" vertical="center"/>
    </xf>
    <xf numFmtId="177" fontId="15" fillId="3" borderId="0" xfId="0" applyNumberFormat="1" applyFont="1" applyFill="1" applyAlignment="1">
      <alignment horizontal="center" vertical="center"/>
    </xf>
    <xf numFmtId="0" fontId="11" fillId="0" borderId="0" xfId="0" applyFont="1" applyAlignment="1">
      <alignment horizontal="left" vertical="center" wrapText="1"/>
    </xf>
    <xf numFmtId="0" fontId="11" fillId="0" borderId="0" xfId="0" applyFont="1" applyAlignment="1">
      <alignment horizontal="left" vertical="center"/>
    </xf>
    <xf numFmtId="0" fontId="25" fillId="0" borderId="0" xfId="0" applyFont="1" applyAlignment="1">
      <alignment horizontal="left" vertical="center"/>
    </xf>
    <xf numFmtId="0" fontId="26" fillId="0" borderId="0" xfId="0" applyFont="1" applyAlignment="1">
      <alignment horizontal="left" vertical="center"/>
    </xf>
    <xf numFmtId="0" fontId="5" fillId="0" borderId="0" xfId="0" applyFont="1" applyAlignment="1">
      <alignment horizontal="left" vertical="center"/>
    </xf>
    <xf numFmtId="0" fontId="5" fillId="0" borderId="0" xfId="0" applyFont="1" applyAlignment="1">
      <alignment horizontal="left" vertical="center" wrapText="1"/>
    </xf>
    <xf numFmtId="0" fontId="27" fillId="0" borderId="0" xfId="0" applyFont="1" applyAlignment="1">
      <alignment horizontal="left" vertical="center"/>
    </xf>
    <xf numFmtId="177" fontId="14" fillId="3" borderId="4" xfId="0" applyNumberFormat="1" applyFont="1" applyFill="1" applyBorder="1" applyAlignment="1">
      <alignment horizontal="center" vertical="center"/>
    </xf>
    <xf numFmtId="177" fontId="14" fillId="3" borderId="0" xfId="0" applyNumberFormat="1" applyFont="1" applyFill="1" applyBorder="1" applyAlignment="1">
      <alignment horizontal="center" vertical="center"/>
    </xf>
    <xf numFmtId="177" fontId="14" fillId="3" borderId="5" xfId="0" applyNumberFormat="1" applyFont="1" applyFill="1" applyBorder="1" applyAlignment="1">
      <alignment horizontal="center" vertical="center"/>
    </xf>
    <xf numFmtId="177" fontId="14" fillId="3" borderId="14" xfId="0" applyNumberFormat="1" applyFont="1" applyFill="1" applyBorder="1" applyAlignment="1">
      <alignment horizontal="center" vertical="center"/>
    </xf>
    <xf numFmtId="177" fontId="14" fillId="3" borderId="13" xfId="0" applyNumberFormat="1" applyFont="1" applyFill="1" applyBorder="1" applyAlignment="1">
      <alignment horizontal="center" vertical="center"/>
    </xf>
    <xf numFmtId="177" fontId="14" fillId="3" borderId="12" xfId="0" applyNumberFormat="1" applyFont="1" applyFill="1" applyBorder="1" applyAlignment="1">
      <alignment horizontal="center" vertical="center"/>
    </xf>
    <xf numFmtId="177" fontId="15" fillId="0" borderId="0" xfId="0" applyNumberFormat="1" applyFont="1" applyBorder="1" applyAlignment="1">
      <alignment horizontal="left" vertical="center"/>
    </xf>
    <xf numFmtId="0" fontId="15" fillId="0" borderId="10" xfId="0" applyFont="1" applyBorder="1" applyAlignment="1">
      <alignment horizontal="left" vertical="center"/>
    </xf>
    <xf numFmtId="0" fontId="14" fillId="0" borderId="14" xfId="0" applyFont="1" applyBorder="1" applyAlignment="1">
      <alignment horizontal="center" vertical="center"/>
    </xf>
    <xf numFmtId="0" fontId="14" fillId="0" borderId="13" xfId="0" applyFont="1" applyBorder="1" applyAlignment="1">
      <alignment horizontal="center" vertical="center"/>
    </xf>
    <xf numFmtId="0" fontId="14" fillId="0" borderId="12" xfId="0" applyFont="1" applyBorder="1" applyAlignment="1">
      <alignment horizontal="center" vertical="center"/>
    </xf>
    <xf numFmtId="0" fontId="15" fillId="0" borderId="0" xfId="0" applyFont="1" applyAlignment="1">
      <alignment horizontal="left" vertical="center"/>
    </xf>
    <xf numFmtId="177" fontId="14" fillId="3" borderId="11" xfId="0" applyNumberFormat="1" applyFont="1" applyFill="1" applyBorder="1" applyAlignment="1">
      <alignment horizontal="center" vertical="center"/>
    </xf>
    <xf numFmtId="177" fontId="14" fillId="3" borderId="10" xfId="0" applyNumberFormat="1" applyFont="1" applyFill="1" applyBorder="1" applyAlignment="1">
      <alignment horizontal="center" vertical="center"/>
    </xf>
    <xf numFmtId="177" fontId="14" fillId="3" borderId="9" xfId="0" applyNumberFormat="1" applyFont="1" applyFill="1" applyBorder="1" applyAlignment="1">
      <alignment horizontal="center" vertical="center"/>
    </xf>
    <xf numFmtId="0" fontId="14" fillId="3" borderId="11" xfId="0" applyFont="1" applyFill="1" applyBorder="1" applyAlignment="1">
      <alignment horizontal="center" vertical="center"/>
    </xf>
    <xf numFmtId="0" fontId="14" fillId="3" borderId="10" xfId="0" applyFont="1" applyFill="1" applyBorder="1" applyAlignment="1">
      <alignment horizontal="center" vertical="center"/>
    </xf>
    <xf numFmtId="0" fontId="14" fillId="3" borderId="9" xfId="0" applyFont="1" applyFill="1" applyBorder="1" applyAlignment="1">
      <alignment horizontal="center" vertical="center"/>
    </xf>
    <xf numFmtId="0" fontId="14" fillId="0" borderId="4" xfId="0" applyFont="1" applyBorder="1" applyAlignment="1">
      <alignment horizontal="center" vertical="center"/>
    </xf>
    <xf numFmtId="0" fontId="14" fillId="0" borderId="0" xfId="0" applyFont="1" applyBorder="1" applyAlignment="1">
      <alignment horizontal="center" vertical="center"/>
    </xf>
    <xf numFmtId="0" fontId="14" fillId="0" borderId="5" xfId="0" applyFont="1" applyBorder="1" applyAlignment="1">
      <alignment horizontal="center" vertical="center"/>
    </xf>
    <xf numFmtId="177" fontId="15" fillId="3" borderId="4" xfId="0" applyNumberFormat="1" applyFont="1" applyFill="1" applyBorder="1" applyAlignment="1">
      <alignment horizontal="center" vertical="center"/>
    </xf>
    <xf numFmtId="177" fontId="15" fillId="3" borderId="0" xfId="0" applyNumberFormat="1" applyFont="1" applyFill="1" applyBorder="1" applyAlignment="1">
      <alignment horizontal="center" vertical="center"/>
    </xf>
    <xf numFmtId="177" fontId="15" fillId="3" borderId="5" xfId="0" applyNumberFormat="1" applyFont="1" applyFill="1" applyBorder="1" applyAlignment="1">
      <alignment horizontal="center" vertical="center"/>
    </xf>
    <xf numFmtId="0" fontId="14" fillId="3" borderId="14" xfId="0" applyFont="1" applyFill="1" applyBorder="1" applyAlignment="1">
      <alignment horizontal="center" vertical="center"/>
    </xf>
    <xf numFmtId="0" fontId="14" fillId="3" borderId="13" xfId="0" applyFont="1" applyFill="1" applyBorder="1" applyAlignment="1">
      <alignment horizontal="center" vertical="center"/>
    </xf>
    <xf numFmtId="0" fontId="14" fillId="3" borderId="12" xfId="0" applyFont="1" applyFill="1" applyBorder="1" applyAlignment="1">
      <alignment horizontal="center" vertical="center"/>
    </xf>
    <xf numFmtId="177" fontId="15" fillId="0" borderId="0" xfId="0" applyNumberFormat="1" applyFont="1" applyAlignment="1">
      <alignment horizontal="left" vertical="center"/>
    </xf>
    <xf numFmtId="177" fontId="15" fillId="0" borderId="10" xfId="0" applyNumberFormat="1" applyFont="1" applyBorder="1" applyAlignment="1">
      <alignment horizontal="left" vertical="center"/>
    </xf>
    <xf numFmtId="0" fontId="14" fillId="3" borderId="4" xfId="0" applyFont="1" applyFill="1" applyBorder="1" applyAlignment="1">
      <alignment horizontal="center" vertical="center"/>
    </xf>
    <xf numFmtId="0" fontId="14" fillId="3" borderId="0" xfId="0" applyFont="1" applyFill="1" applyBorder="1" applyAlignment="1">
      <alignment horizontal="center" vertical="center"/>
    </xf>
    <xf numFmtId="0" fontId="14" fillId="3" borderId="5" xfId="0" applyFont="1" applyFill="1" applyBorder="1" applyAlignment="1">
      <alignment horizontal="center" vertical="center"/>
    </xf>
    <xf numFmtId="0" fontId="11" fillId="0" borderId="7" xfId="0" applyFont="1" applyBorder="1" applyAlignment="1">
      <alignment horizontal="center" vertical="center"/>
    </xf>
    <xf numFmtId="0" fontId="15" fillId="0" borderId="0" xfId="0" applyFont="1" applyBorder="1" applyAlignment="1">
      <alignment horizontal="left" vertical="center"/>
    </xf>
    <xf numFmtId="0" fontId="14" fillId="3" borderId="16" xfId="0" applyFont="1" applyFill="1" applyBorder="1" applyAlignment="1">
      <alignment horizontal="center" vertical="center"/>
    </xf>
    <xf numFmtId="0" fontId="14" fillId="3" borderId="15" xfId="0" applyFont="1" applyFill="1" applyBorder="1" applyAlignment="1">
      <alignment horizontal="center" vertical="center"/>
    </xf>
    <xf numFmtId="0" fontId="14" fillId="3" borderId="17" xfId="0" applyFont="1" applyFill="1" applyBorder="1" applyAlignment="1">
      <alignment horizontal="center" vertical="center"/>
    </xf>
    <xf numFmtId="177" fontId="14" fillId="3" borderId="16" xfId="0" applyNumberFormat="1" applyFont="1" applyFill="1" applyBorder="1" applyAlignment="1">
      <alignment horizontal="center" vertical="center"/>
    </xf>
    <xf numFmtId="177" fontId="14" fillId="3" borderId="15" xfId="0" applyNumberFormat="1" applyFont="1" applyFill="1" applyBorder="1" applyAlignment="1">
      <alignment horizontal="center" vertical="center"/>
    </xf>
    <xf numFmtId="177" fontId="14" fillId="3" borderId="17" xfId="0" applyNumberFormat="1" applyFont="1" applyFill="1" applyBorder="1" applyAlignment="1">
      <alignment horizontal="center" vertical="center"/>
    </xf>
    <xf numFmtId="0" fontId="0" fillId="0" borderId="0" xfId="0" applyAlignment="1">
      <alignment horizontal="center" vertical="center"/>
    </xf>
    <xf numFmtId="0" fontId="31" fillId="0" borderId="0" xfId="0" applyFont="1" applyAlignment="1">
      <alignment horizontal="center" vertical="center"/>
    </xf>
    <xf numFmtId="0" fontId="23" fillId="0" borderId="0" xfId="0" applyFont="1" applyAlignment="1">
      <alignment horizontal="center" vertical="center"/>
    </xf>
    <xf numFmtId="177" fontId="23" fillId="0" borderId="0" xfId="0" applyNumberFormat="1" applyFont="1" applyAlignment="1">
      <alignment horizontal="center" vertical="center"/>
    </xf>
    <xf numFmtId="177" fontId="31" fillId="0" borderId="0" xfId="0" applyNumberFormat="1" applyFont="1" applyAlignment="1">
      <alignment horizontal="center" vertical="center"/>
    </xf>
    <xf numFmtId="181" fontId="47" fillId="8" borderId="20" xfId="2" applyNumberFormat="1" applyBorder="1" applyAlignment="1">
      <alignment horizontal="right" vertical="center" wrapText="1" readingOrder="1"/>
    </xf>
    <xf numFmtId="0" fontId="49" fillId="0" borderId="0" xfId="0" applyFont="1">
      <alignment vertical="center"/>
    </xf>
    <xf numFmtId="178" fontId="0" fillId="0" borderId="0" xfId="0" applyNumberFormat="1">
      <alignment vertical="center"/>
    </xf>
    <xf numFmtId="0" fontId="49" fillId="0" borderId="0" xfId="0" applyFont="1" applyAlignment="1">
      <alignment horizontal="center" vertical="center"/>
    </xf>
    <xf numFmtId="0" fontId="0" fillId="10" borderId="0" xfId="0" applyFill="1">
      <alignment vertical="center"/>
    </xf>
    <xf numFmtId="0" fontId="0" fillId="11" borderId="0" xfId="0" applyFill="1">
      <alignment vertical="center"/>
    </xf>
    <xf numFmtId="0" fontId="0" fillId="12" borderId="0" xfId="0" applyFill="1">
      <alignment vertical="center"/>
    </xf>
    <xf numFmtId="0" fontId="0" fillId="13" borderId="0" xfId="0" applyFill="1">
      <alignment vertical="center"/>
    </xf>
    <xf numFmtId="0" fontId="0" fillId="14" borderId="0" xfId="0" applyFill="1">
      <alignment vertical="center"/>
    </xf>
    <xf numFmtId="0" fontId="0" fillId="15" borderId="0" xfId="0" applyFill="1">
      <alignment vertical="center"/>
    </xf>
    <xf numFmtId="0" fontId="0" fillId="16" borderId="0" xfId="0" applyFill="1">
      <alignment vertical="center"/>
    </xf>
    <xf numFmtId="0" fontId="0" fillId="17" borderId="0" xfId="0" applyFill="1">
      <alignment vertical="center"/>
    </xf>
    <xf numFmtId="178" fontId="0" fillId="9" borderId="21" xfId="3" applyNumberFormat="1" applyFont="1">
      <alignment vertical="center"/>
    </xf>
    <xf numFmtId="178" fontId="48" fillId="0" borderId="0" xfId="0" applyNumberFormat="1" applyFont="1">
      <alignment vertical="center"/>
    </xf>
    <xf numFmtId="0" fontId="17" fillId="0" borderId="0" xfId="0" applyFont="1">
      <alignment vertical="center"/>
    </xf>
    <xf numFmtId="178" fontId="17" fillId="0" borderId="0" xfId="0" applyNumberFormat="1" applyFont="1">
      <alignment vertical="center"/>
    </xf>
    <xf numFmtId="178" fontId="0" fillId="0" borderId="0" xfId="0" applyNumberFormat="1" applyFont="1">
      <alignment vertical="center"/>
    </xf>
    <xf numFmtId="0" fontId="51" fillId="0" borderId="0" xfId="0" applyFont="1" applyAlignment="1">
      <alignment horizontal="center" vertical="center"/>
    </xf>
    <xf numFmtId="0" fontId="0" fillId="0" borderId="0" xfId="0" applyFont="1" applyAlignment="1">
      <alignment horizontal="center" vertical="center"/>
    </xf>
    <xf numFmtId="0" fontId="0" fillId="0" borderId="0" xfId="0" applyAlignment="1">
      <alignment vertical="center"/>
    </xf>
  </cellXfs>
  <cellStyles count="4">
    <cellStyle name="메모" xfId="3" builtinId="10"/>
    <cellStyle name="좋음" xfId="2" builtinId="26"/>
    <cellStyle name="표준" xfId="0" builtinId="0"/>
    <cellStyle name="하이퍼링크"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r>
              <a:rPr lang="en-US" altLang="ko-KR" sz="2000"/>
              <a:t>Mean distance between groups calculated by PANOSE</a:t>
            </a:r>
            <a:endParaRPr lang="ko-KR" altLang="en-US" sz="2000"/>
          </a:p>
        </c:rich>
      </c:tx>
      <c:layout>
        <c:manualLayout>
          <c:xMode val="edge"/>
          <c:yMode val="edge"/>
          <c:x val="0.27407605836766147"/>
          <c:y val="3.12615659442338E-2"/>
        </c:manualLayout>
      </c:layout>
      <c:overlay val="0"/>
      <c:spPr>
        <a:noFill/>
        <a:ln>
          <a:noFill/>
        </a:ln>
        <a:effectLst/>
      </c:spPr>
      <c:txPr>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endParaRPr lang="ko-KR"/>
        </a:p>
      </c:txPr>
    </c:title>
    <c:autoTitleDeleted val="0"/>
    <c:plotArea>
      <c:layout/>
      <c:barChart>
        <c:barDir val="col"/>
        <c:grouping val="clustered"/>
        <c:varyColors val="0"/>
        <c:ser>
          <c:idx val="0"/>
          <c:order val="0"/>
          <c:tx>
            <c:strRef>
              <c:f>Distance!$T$23</c:f>
              <c:strCache>
                <c:ptCount val="1"/>
                <c:pt idx="0">
                  <c:v>WITHIN</c:v>
                </c:pt>
              </c:strCache>
            </c:strRef>
          </c:tx>
          <c:spPr>
            <a:solidFill>
              <a:schemeClr val="accent6"/>
            </a:solidFill>
            <a:ln>
              <a:noFill/>
            </a:ln>
            <a:effectLst/>
          </c:spPr>
          <c:invertIfNegative val="0"/>
          <c:errBars>
            <c:errBarType val="both"/>
            <c:errValType val="stdErr"/>
            <c:noEndCap val="0"/>
            <c:spPr>
              <a:noFill/>
              <a:ln w="9525" cap="flat" cmpd="sng" algn="ctr">
                <a:solidFill>
                  <a:schemeClr val="tx1">
                    <a:lumMod val="65000"/>
                    <a:lumOff val="35000"/>
                  </a:schemeClr>
                </a:solidFill>
                <a:round/>
              </a:ln>
              <a:effectLst/>
            </c:spPr>
          </c:errBars>
          <c:cat>
            <c:strRef>
              <c:extLst>
                <c:ext xmlns:c15="http://schemas.microsoft.com/office/drawing/2012/chart" uri="{02D57815-91ED-43cb-92C2-25804820EDAC}">
                  <c15:fullRef>
                    <c15:sqref>Distance!$U$21:$Y$22</c15:sqref>
                  </c15:fullRef>
                  <c15:levelRef>
                    <c15:sqref>Distance!$U$21:$Y$21</c15:sqref>
                  </c15:levelRef>
                </c:ext>
              </c:extLst>
              <c:f>Distance!$U$21:$Y$21</c:f>
              <c:strCache>
                <c:ptCount val="5"/>
                <c:pt idx="0">
                  <c:v>Myeongjo</c:v>
                </c:pt>
                <c:pt idx="1">
                  <c:v>Gothic</c:v>
                </c:pt>
                <c:pt idx="2">
                  <c:v>Monan Buri</c:v>
                </c:pt>
                <c:pt idx="3">
                  <c:v>Non-square</c:v>
                </c:pt>
                <c:pt idx="4">
                  <c:v>Border decoration</c:v>
                </c:pt>
              </c:strCache>
            </c:strRef>
          </c:cat>
          <c:val>
            <c:numRef>
              <c:f>Distance!$U$23:$Y$23</c:f>
              <c:numCache>
                <c:formatCode>General</c:formatCode>
                <c:ptCount val="5"/>
                <c:pt idx="0">
                  <c:v>18.231835654179079</c:v>
                </c:pt>
                <c:pt idx="1">
                  <c:v>22.665277506748286</c:v>
                </c:pt>
                <c:pt idx="2">
                  <c:v>48.870963677158301</c:v>
                </c:pt>
                <c:pt idx="3" formatCode="0.00_ ">
                  <c:v>55.082540884550419</c:v>
                </c:pt>
                <c:pt idx="4">
                  <c:v>58.897362943737903</c:v>
                </c:pt>
              </c:numCache>
            </c:numRef>
          </c:val>
          <c:extLst>
            <c:ext xmlns:c16="http://schemas.microsoft.com/office/drawing/2014/chart" uri="{C3380CC4-5D6E-409C-BE32-E72D297353CC}">
              <c16:uniqueId val="{00000000-0418-432E-A4D3-EA882D30475D}"/>
            </c:ext>
          </c:extLst>
        </c:ser>
        <c:ser>
          <c:idx val="1"/>
          <c:order val="1"/>
          <c:tx>
            <c:strRef>
              <c:f>Distance!$T$24</c:f>
              <c:strCache>
                <c:ptCount val="1"/>
                <c:pt idx="0">
                  <c:v>BETWEEN</c:v>
                </c:pt>
              </c:strCache>
            </c:strRef>
          </c:tx>
          <c:spPr>
            <a:solidFill>
              <a:schemeClr val="accent5"/>
            </a:solidFill>
            <a:ln>
              <a:noFill/>
            </a:ln>
            <a:effectLst/>
          </c:spPr>
          <c:invertIfNegative val="0"/>
          <c:errBars>
            <c:errBarType val="both"/>
            <c:errValType val="stdErr"/>
            <c:noEndCap val="0"/>
            <c:spPr>
              <a:noFill/>
              <a:ln w="9525" cap="flat" cmpd="sng" algn="ctr">
                <a:solidFill>
                  <a:schemeClr val="tx1">
                    <a:lumMod val="65000"/>
                    <a:lumOff val="35000"/>
                  </a:schemeClr>
                </a:solidFill>
                <a:round/>
              </a:ln>
              <a:effectLst/>
            </c:spPr>
          </c:errBars>
          <c:cat>
            <c:strRef>
              <c:extLst>
                <c:ext xmlns:c15="http://schemas.microsoft.com/office/drawing/2012/chart" uri="{02D57815-91ED-43cb-92C2-25804820EDAC}">
                  <c15:fullRef>
                    <c15:sqref>Distance!$U$21:$Y$22</c15:sqref>
                  </c15:fullRef>
                  <c15:levelRef>
                    <c15:sqref>Distance!$U$21:$Y$21</c15:sqref>
                  </c15:levelRef>
                </c:ext>
              </c:extLst>
              <c:f>Distance!$U$21:$Y$21</c:f>
              <c:strCache>
                <c:ptCount val="5"/>
                <c:pt idx="0">
                  <c:v>Myeongjo</c:v>
                </c:pt>
                <c:pt idx="1">
                  <c:v>Gothic</c:v>
                </c:pt>
                <c:pt idx="2">
                  <c:v>Monan Buri</c:v>
                </c:pt>
                <c:pt idx="3">
                  <c:v>Non-square</c:v>
                </c:pt>
                <c:pt idx="4">
                  <c:v>Border decoration</c:v>
                </c:pt>
              </c:strCache>
            </c:strRef>
          </c:cat>
          <c:val>
            <c:numRef>
              <c:f>Distance!$U$24:$Y$24</c:f>
              <c:numCache>
                <c:formatCode>General</c:formatCode>
                <c:ptCount val="5"/>
                <c:pt idx="0">
                  <c:v>52.655167180915761</c:v>
                </c:pt>
                <c:pt idx="1">
                  <c:v>52.386473735305486</c:v>
                </c:pt>
                <c:pt idx="2">
                  <c:v>51.649359651741534</c:v>
                </c:pt>
                <c:pt idx="3">
                  <c:v>50.558871982177266</c:v>
                </c:pt>
                <c:pt idx="4">
                  <c:v>50.190589769427326</c:v>
                </c:pt>
              </c:numCache>
            </c:numRef>
          </c:val>
          <c:extLst>
            <c:ext xmlns:c16="http://schemas.microsoft.com/office/drawing/2014/chart" uri="{C3380CC4-5D6E-409C-BE32-E72D297353CC}">
              <c16:uniqueId val="{00000001-0418-432E-A4D3-EA882D30475D}"/>
            </c:ext>
          </c:extLst>
        </c:ser>
        <c:dLbls>
          <c:showLegendKey val="0"/>
          <c:showVal val="0"/>
          <c:showCatName val="0"/>
          <c:showSerName val="0"/>
          <c:showPercent val="0"/>
          <c:showBubbleSize val="0"/>
        </c:dLbls>
        <c:gapWidth val="219"/>
        <c:overlap val="-27"/>
        <c:axId val="237100783"/>
        <c:axId val="237093711"/>
      </c:barChart>
      <c:catAx>
        <c:axId val="237100783"/>
        <c:scaling>
          <c:orientation val="minMax"/>
        </c:scaling>
        <c:delete val="0"/>
        <c:axPos val="b"/>
        <c:title>
          <c:tx>
            <c:rich>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r>
                  <a:rPr lang="en-US" altLang="ko-KR" sz="1050" b="0" i="0" baseline="0">
                    <a:effectLst/>
                  </a:rPr>
                  <a:t>Groups</a:t>
                </a:r>
                <a:endParaRPr lang="ko-KR" altLang="ko-KR" sz="1050">
                  <a:effectLst/>
                </a:endParaRPr>
              </a:p>
            </c:rich>
          </c:tx>
          <c:layout/>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ko-K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237093711"/>
        <c:crosses val="autoZero"/>
        <c:auto val="1"/>
        <c:lblAlgn val="ctr"/>
        <c:lblOffset val="100"/>
        <c:noMultiLvlLbl val="0"/>
      </c:catAx>
      <c:valAx>
        <c:axId val="2370937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altLang="ko-KR" sz="1600"/>
                  <a:t>Average of distance values</a:t>
                </a:r>
                <a:endParaRPr lang="ko-KR" altLang="en-US" sz="1600"/>
              </a:p>
            </c:rich>
          </c:tx>
          <c:layout/>
          <c:overlay val="0"/>
          <c:spPr>
            <a:noFill/>
            <a:ln>
              <a:noFill/>
            </a:ln>
            <a:effectLst/>
          </c:spPr>
          <c:txPr>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ko-K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237100783"/>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ko-K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r>
              <a:rPr lang="en-US" altLang="ko-KR" sz="2000"/>
              <a:t>Average distance between groups calculated by our algorithm</a:t>
            </a:r>
            <a:endParaRPr lang="ko-KR" altLang="en-US" sz="2000"/>
          </a:p>
        </c:rich>
      </c:tx>
      <c:layout>
        <c:manualLayout>
          <c:xMode val="edge"/>
          <c:yMode val="edge"/>
          <c:x val="0.13440849009235864"/>
          <c:y val="4.0919023497048297E-2"/>
        </c:manualLayout>
      </c:layout>
      <c:overlay val="0"/>
      <c:spPr>
        <a:noFill/>
        <a:ln>
          <a:noFill/>
        </a:ln>
        <a:effectLst/>
      </c:spPr>
      <c:txPr>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endParaRPr lang="ko-KR"/>
        </a:p>
      </c:txPr>
    </c:title>
    <c:autoTitleDeleted val="0"/>
    <c:plotArea>
      <c:layout/>
      <c:barChart>
        <c:barDir val="col"/>
        <c:grouping val="clustered"/>
        <c:varyColors val="0"/>
        <c:ser>
          <c:idx val="0"/>
          <c:order val="0"/>
          <c:tx>
            <c:strRef>
              <c:f>Distance!$T$5</c:f>
              <c:strCache>
                <c:ptCount val="1"/>
                <c:pt idx="0">
                  <c:v>WITHIN</c:v>
                </c:pt>
              </c:strCache>
            </c:strRef>
          </c:tx>
          <c:spPr>
            <a:solidFill>
              <a:schemeClr val="accent6"/>
            </a:solidFill>
            <a:ln>
              <a:noFill/>
            </a:ln>
            <a:effectLst/>
          </c:spPr>
          <c:invertIfNegative val="0"/>
          <c:errBars>
            <c:errBarType val="both"/>
            <c:errValType val="stdErr"/>
            <c:noEndCap val="0"/>
            <c:spPr>
              <a:noFill/>
              <a:ln w="9525" cap="flat" cmpd="sng" algn="ctr">
                <a:solidFill>
                  <a:schemeClr val="tx1">
                    <a:lumMod val="65000"/>
                    <a:lumOff val="35000"/>
                  </a:schemeClr>
                </a:solidFill>
                <a:round/>
              </a:ln>
              <a:effectLst/>
            </c:spPr>
          </c:errBars>
          <c:cat>
            <c:strRef>
              <c:extLst>
                <c:ext xmlns:c15="http://schemas.microsoft.com/office/drawing/2012/chart" uri="{02D57815-91ED-43cb-92C2-25804820EDAC}">
                  <c15:fullRef>
                    <c15:sqref>Distance!$U$3:$Y$4</c15:sqref>
                  </c15:fullRef>
                  <c15:levelRef>
                    <c15:sqref>Distance!$U$3:$Y$3</c15:sqref>
                  </c15:levelRef>
                </c:ext>
              </c:extLst>
              <c:f>Distance!$U$3:$Y$3</c:f>
              <c:strCache>
                <c:ptCount val="5"/>
                <c:pt idx="0">
                  <c:v>Myeongjo</c:v>
                </c:pt>
                <c:pt idx="1">
                  <c:v>Gothic</c:v>
                </c:pt>
                <c:pt idx="2">
                  <c:v>Monan Buri</c:v>
                </c:pt>
                <c:pt idx="3">
                  <c:v>Non-square</c:v>
                </c:pt>
                <c:pt idx="4">
                  <c:v>Border decoration</c:v>
                </c:pt>
              </c:strCache>
            </c:strRef>
          </c:cat>
          <c:val>
            <c:numRef>
              <c:f>Distance!$U$5:$Y$5</c:f>
              <c:numCache>
                <c:formatCode>General</c:formatCode>
                <c:ptCount val="5"/>
                <c:pt idx="0">
                  <c:v>11.394999999999998</c:v>
                </c:pt>
                <c:pt idx="1">
                  <c:v>43.206666666666671</c:v>
                </c:pt>
                <c:pt idx="2">
                  <c:v>38.054418604651168</c:v>
                </c:pt>
                <c:pt idx="3" formatCode="0.00_ ">
                  <c:v>30.466666666666669</c:v>
                </c:pt>
                <c:pt idx="4">
                  <c:v>45.47</c:v>
                </c:pt>
              </c:numCache>
            </c:numRef>
          </c:val>
          <c:extLst>
            <c:ext xmlns:c16="http://schemas.microsoft.com/office/drawing/2014/chart" uri="{C3380CC4-5D6E-409C-BE32-E72D297353CC}">
              <c16:uniqueId val="{00000000-421E-4084-98D5-9AFED5510FC1}"/>
            </c:ext>
          </c:extLst>
        </c:ser>
        <c:ser>
          <c:idx val="1"/>
          <c:order val="1"/>
          <c:tx>
            <c:strRef>
              <c:f>Distance!$T$6</c:f>
              <c:strCache>
                <c:ptCount val="1"/>
                <c:pt idx="0">
                  <c:v>BETWEEN</c:v>
                </c:pt>
              </c:strCache>
            </c:strRef>
          </c:tx>
          <c:spPr>
            <a:solidFill>
              <a:schemeClr val="accent5"/>
            </a:solidFill>
            <a:ln>
              <a:noFill/>
            </a:ln>
            <a:effectLst/>
          </c:spPr>
          <c:invertIfNegative val="0"/>
          <c:errBars>
            <c:errBarType val="both"/>
            <c:errValType val="stdErr"/>
            <c:noEndCap val="0"/>
            <c:spPr>
              <a:noFill/>
              <a:ln w="9525" cap="flat" cmpd="sng" algn="ctr">
                <a:solidFill>
                  <a:schemeClr val="tx1">
                    <a:lumMod val="65000"/>
                    <a:lumOff val="35000"/>
                  </a:schemeClr>
                </a:solidFill>
                <a:round/>
              </a:ln>
              <a:effectLst/>
            </c:spPr>
          </c:errBars>
          <c:cat>
            <c:strRef>
              <c:extLst>
                <c:ext xmlns:c15="http://schemas.microsoft.com/office/drawing/2012/chart" uri="{02D57815-91ED-43cb-92C2-25804820EDAC}">
                  <c15:fullRef>
                    <c15:sqref>Distance!$U$3:$Y$4</c15:sqref>
                  </c15:fullRef>
                  <c15:levelRef>
                    <c15:sqref>Distance!$U$3:$Y$3</c15:sqref>
                  </c15:levelRef>
                </c:ext>
              </c:extLst>
              <c:f>Distance!$U$3:$Y$3</c:f>
              <c:strCache>
                <c:ptCount val="5"/>
                <c:pt idx="0">
                  <c:v>Myeongjo</c:v>
                </c:pt>
                <c:pt idx="1">
                  <c:v>Gothic</c:v>
                </c:pt>
                <c:pt idx="2">
                  <c:v>Monan Buri</c:v>
                </c:pt>
                <c:pt idx="3">
                  <c:v>Non-square</c:v>
                </c:pt>
                <c:pt idx="4">
                  <c:v>Border decoration</c:v>
                </c:pt>
              </c:strCache>
            </c:strRef>
          </c:cat>
          <c:val>
            <c:numRef>
              <c:f>Distance!$U$6:$Y$6</c:f>
              <c:numCache>
                <c:formatCode>General</c:formatCode>
                <c:ptCount val="5"/>
                <c:pt idx="0">
                  <c:v>49.068080808080815</c:v>
                </c:pt>
                <c:pt idx="1">
                  <c:v>47.140101010100999</c:v>
                </c:pt>
                <c:pt idx="2">
                  <c:v>53.475333333333325</c:v>
                </c:pt>
                <c:pt idx="3">
                  <c:v>47.399117647058809</c:v>
                </c:pt>
                <c:pt idx="4">
                  <c:v>47.002929292929274</c:v>
                </c:pt>
              </c:numCache>
            </c:numRef>
          </c:val>
          <c:extLst>
            <c:ext xmlns:c16="http://schemas.microsoft.com/office/drawing/2014/chart" uri="{C3380CC4-5D6E-409C-BE32-E72D297353CC}">
              <c16:uniqueId val="{00000001-421E-4084-98D5-9AFED5510FC1}"/>
            </c:ext>
          </c:extLst>
        </c:ser>
        <c:dLbls>
          <c:showLegendKey val="0"/>
          <c:showVal val="0"/>
          <c:showCatName val="0"/>
          <c:showSerName val="0"/>
          <c:showPercent val="0"/>
          <c:showBubbleSize val="0"/>
        </c:dLbls>
        <c:gapWidth val="219"/>
        <c:overlap val="-27"/>
        <c:axId val="237093295"/>
        <c:axId val="237098287"/>
      </c:barChart>
      <c:catAx>
        <c:axId val="2370932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ko-KR"/>
                  <a:t>Groups</a:t>
                </a:r>
                <a:endParaRPr lang="ko-KR" alt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ko-K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237098287"/>
        <c:crosses val="autoZero"/>
        <c:auto val="1"/>
        <c:lblAlgn val="ctr"/>
        <c:lblOffset val="100"/>
        <c:noMultiLvlLbl val="0"/>
      </c:catAx>
      <c:valAx>
        <c:axId val="23709828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altLang="ko-KR" sz="1600"/>
                  <a:t>Average of distance values</a:t>
                </a:r>
                <a:endParaRPr lang="ko-KR" altLang="en-US" sz="1600"/>
              </a:p>
            </c:rich>
          </c:tx>
          <c:layout>
            <c:manualLayout>
              <c:xMode val="edge"/>
              <c:yMode val="edge"/>
              <c:x val="1.4134543042465956E-2"/>
              <c:y val="0.31356781293975522"/>
            </c:manualLayout>
          </c:layout>
          <c:overlay val="0"/>
          <c:spPr>
            <a:noFill/>
            <a:ln>
              <a:noFill/>
            </a:ln>
            <a:effectLst/>
          </c:spPr>
          <c:txPr>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ko-K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237093295"/>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ko-K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image" Target="../media/image1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s>
</file>

<file path=xl/drawings/_rels/drawing2.xml.rels><?xml version="1.0" encoding="UTF-8" standalone="yes"?>
<Relationships xmlns="http://schemas.openxmlformats.org/package/2006/relationships"><Relationship Id="rId8" Type="http://schemas.openxmlformats.org/officeDocument/2006/relationships/image" Target="../media/image23.png"/><Relationship Id="rId13" Type="http://schemas.openxmlformats.org/officeDocument/2006/relationships/image" Target="../media/image28.png"/><Relationship Id="rId3" Type="http://schemas.openxmlformats.org/officeDocument/2006/relationships/image" Target="../media/image18.png"/><Relationship Id="rId7" Type="http://schemas.openxmlformats.org/officeDocument/2006/relationships/image" Target="../media/image22.png"/><Relationship Id="rId12" Type="http://schemas.openxmlformats.org/officeDocument/2006/relationships/image" Target="../media/image27.png"/><Relationship Id="rId17" Type="http://schemas.openxmlformats.org/officeDocument/2006/relationships/image" Target="../media/image32.png"/><Relationship Id="rId2" Type="http://schemas.openxmlformats.org/officeDocument/2006/relationships/image" Target="../media/image17.png"/><Relationship Id="rId16" Type="http://schemas.openxmlformats.org/officeDocument/2006/relationships/image" Target="../media/image31.png"/><Relationship Id="rId1" Type="http://schemas.openxmlformats.org/officeDocument/2006/relationships/image" Target="../media/image16.png"/><Relationship Id="rId6" Type="http://schemas.openxmlformats.org/officeDocument/2006/relationships/image" Target="../media/image21.png"/><Relationship Id="rId11" Type="http://schemas.openxmlformats.org/officeDocument/2006/relationships/image" Target="../media/image26.png"/><Relationship Id="rId5" Type="http://schemas.openxmlformats.org/officeDocument/2006/relationships/image" Target="../media/image20.png"/><Relationship Id="rId15" Type="http://schemas.openxmlformats.org/officeDocument/2006/relationships/image" Target="../media/image30.png"/><Relationship Id="rId10" Type="http://schemas.openxmlformats.org/officeDocument/2006/relationships/image" Target="../media/image25.png"/><Relationship Id="rId4" Type="http://schemas.openxmlformats.org/officeDocument/2006/relationships/image" Target="../media/image19.png"/><Relationship Id="rId9" Type="http://schemas.openxmlformats.org/officeDocument/2006/relationships/image" Target="../media/image24.png"/><Relationship Id="rId14" Type="http://schemas.openxmlformats.org/officeDocument/2006/relationships/image" Target="../media/image29.png"/></Relationships>
</file>

<file path=xl/drawings/_rels/drawing3.xml.rels><?xml version="1.0" encoding="UTF-8" standalone="yes"?>
<Relationships xmlns="http://schemas.openxmlformats.org/package/2006/relationships"><Relationship Id="rId8" Type="http://schemas.openxmlformats.org/officeDocument/2006/relationships/image" Target="../media/image40.png"/><Relationship Id="rId13" Type="http://schemas.openxmlformats.org/officeDocument/2006/relationships/image" Target="../media/image45.png"/><Relationship Id="rId18" Type="http://schemas.openxmlformats.org/officeDocument/2006/relationships/image" Target="../media/image50.png"/><Relationship Id="rId26" Type="http://schemas.openxmlformats.org/officeDocument/2006/relationships/image" Target="../media/image58.png"/><Relationship Id="rId3" Type="http://schemas.openxmlformats.org/officeDocument/2006/relationships/image" Target="../media/image35.png"/><Relationship Id="rId21" Type="http://schemas.openxmlformats.org/officeDocument/2006/relationships/image" Target="../media/image53.png"/><Relationship Id="rId7" Type="http://schemas.openxmlformats.org/officeDocument/2006/relationships/image" Target="../media/image39.png"/><Relationship Id="rId12" Type="http://schemas.openxmlformats.org/officeDocument/2006/relationships/image" Target="../media/image44.png"/><Relationship Id="rId17" Type="http://schemas.openxmlformats.org/officeDocument/2006/relationships/image" Target="../media/image49.png"/><Relationship Id="rId25" Type="http://schemas.openxmlformats.org/officeDocument/2006/relationships/image" Target="../media/image57.png"/><Relationship Id="rId2" Type="http://schemas.openxmlformats.org/officeDocument/2006/relationships/image" Target="../media/image34.png"/><Relationship Id="rId16" Type="http://schemas.openxmlformats.org/officeDocument/2006/relationships/image" Target="../media/image48.png"/><Relationship Id="rId20" Type="http://schemas.openxmlformats.org/officeDocument/2006/relationships/image" Target="../media/image52.png"/><Relationship Id="rId29" Type="http://schemas.openxmlformats.org/officeDocument/2006/relationships/image" Target="../media/image61.png"/><Relationship Id="rId1" Type="http://schemas.openxmlformats.org/officeDocument/2006/relationships/image" Target="../media/image33.png"/><Relationship Id="rId6" Type="http://schemas.openxmlformats.org/officeDocument/2006/relationships/image" Target="../media/image38.png"/><Relationship Id="rId11" Type="http://schemas.openxmlformats.org/officeDocument/2006/relationships/image" Target="../media/image43.png"/><Relationship Id="rId24" Type="http://schemas.openxmlformats.org/officeDocument/2006/relationships/image" Target="../media/image56.png"/><Relationship Id="rId5" Type="http://schemas.openxmlformats.org/officeDocument/2006/relationships/image" Target="../media/image37.png"/><Relationship Id="rId15" Type="http://schemas.openxmlformats.org/officeDocument/2006/relationships/image" Target="../media/image47.png"/><Relationship Id="rId23" Type="http://schemas.openxmlformats.org/officeDocument/2006/relationships/image" Target="../media/image55.png"/><Relationship Id="rId28" Type="http://schemas.openxmlformats.org/officeDocument/2006/relationships/image" Target="../media/image60.png"/><Relationship Id="rId10" Type="http://schemas.openxmlformats.org/officeDocument/2006/relationships/image" Target="../media/image42.png"/><Relationship Id="rId19" Type="http://schemas.openxmlformats.org/officeDocument/2006/relationships/image" Target="../media/image51.png"/><Relationship Id="rId31" Type="http://schemas.openxmlformats.org/officeDocument/2006/relationships/image" Target="../media/image63.png"/><Relationship Id="rId4" Type="http://schemas.openxmlformats.org/officeDocument/2006/relationships/image" Target="../media/image36.png"/><Relationship Id="rId9" Type="http://schemas.openxmlformats.org/officeDocument/2006/relationships/image" Target="../media/image41.png"/><Relationship Id="rId14" Type="http://schemas.openxmlformats.org/officeDocument/2006/relationships/image" Target="../media/image46.png"/><Relationship Id="rId22" Type="http://schemas.openxmlformats.org/officeDocument/2006/relationships/image" Target="../media/image54.png"/><Relationship Id="rId27" Type="http://schemas.openxmlformats.org/officeDocument/2006/relationships/image" Target="../media/image59.png"/><Relationship Id="rId30" Type="http://schemas.openxmlformats.org/officeDocument/2006/relationships/image" Target="../media/image62.png"/></Relationships>
</file>

<file path=xl/drawings/_rels/drawing4.xml.rels><?xml version="1.0" encoding="UTF-8" standalone="yes"?>
<Relationships xmlns="http://schemas.openxmlformats.org/package/2006/relationships"><Relationship Id="rId3" Type="http://schemas.openxmlformats.org/officeDocument/2006/relationships/image" Target="../media/image66.png"/><Relationship Id="rId2" Type="http://schemas.openxmlformats.org/officeDocument/2006/relationships/image" Target="../media/image65.png"/><Relationship Id="rId1" Type="http://schemas.openxmlformats.org/officeDocument/2006/relationships/image" Target="../media/image64.png"/></Relationships>
</file>

<file path=xl/drawings/_rels/drawing5.xml.rels><?xml version="1.0" encoding="UTF-8" standalone="yes"?>
<Relationships xmlns="http://schemas.openxmlformats.org/package/2006/relationships"><Relationship Id="rId1" Type="http://schemas.openxmlformats.org/officeDocument/2006/relationships/image" Target="../media/image67.png"/></Relationships>
</file>

<file path=xl/drawings/_rels/drawing6.xml.rels><?xml version="1.0" encoding="UTF-8" standalone="yes"?>
<Relationships xmlns="http://schemas.openxmlformats.org/package/2006/relationships"><Relationship Id="rId1" Type="http://schemas.openxmlformats.org/officeDocument/2006/relationships/image" Target="../media/image67.png"/></Relationships>
</file>

<file path=xl/drawings/_rels/drawing8.xml.rels><?xml version="1.0" encoding="UTF-8" standalone="yes"?>
<Relationships xmlns="http://schemas.openxmlformats.org/package/2006/relationships"><Relationship Id="rId3" Type="http://schemas.openxmlformats.org/officeDocument/2006/relationships/image" Target="../media/image69.gif"/><Relationship Id="rId2" Type="http://schemas.openxmlformats.org/officeDocument/2006/relationships/image" Target="../media/image68.gif"/><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95250</xdr:colOff>
      <xdr:row>1</xdr:row>
      <xdr:rowOff>928684</xdr:rowOff>
    </xdr:from>
    <xdr:to>
      <xdr:col>6</xdr:col>
      <xdr:colOff>500062</xdr:colOff>
      <xdr:row>3</xdr:row>
      <xdr:rowOff>135174</xdr:rowOff>
    </xdr:to>
    <xdr:pic>
      <xdr:nvPicPr>
        <xdr:cNvPr id="2" name="그림 1"/>
        <xdr:cNvPicPr>
          <a:picLocks noChangeAspect="1"/>
        </xdr:cNvPicPr>
      </xdr:nvPicPr>
      <xdr:blipFill>
        <a:blip xmlns:r="http://schemas.openxmlformats.org/officeDocument/2006/relationships" r:embed="rId1"/>
        <a:stretch>
          <a:fillRect/>
        </a:stretch>
      </xdr:blipFill>
      <xdr:spPr>
        <a:xfrm>
          <a:off x="95250" y="1928809"/>
          <a:ext cx="10501312" cy="1385334"/>
        </a:xfrm>
        <a:prstGeom prst="rect">
          <a:avLst/>
        </a:prstGeom>
      </xdr:spPr>
    </xdr:pic>
    <xdr:clientData/>
  </xdr:twoCellAnchor>
  <xdr:twoCellAnchor>
    <xdr:from>
      <xdr:col>0</xdr:col>
      <xdr:colOff>1047750</xdr:colOff>
      <xdr:row>4</xdr:row>
      <xdr:rowOff>95250</xdr:rowOff>
    </xdr:from>
    <xdr:to>
      <xdr:col>1</xdr:col>
      <xdr:colOff>95250</xdr:colOff>
      <xdr:row>8</xdr:row>
      <xdr:rowOff>57150</xdr:rowOff>
    </xdr:to>
    <xdr:sp macro="" textlink="">
      <xdr:nvSpPr>
        <xdr:cNvPr id="3" name="왼쪽 중괄호 2"/>
        <xdr:cNvSpPr/>
      </xdr:nvSpPr>
      <xdr:spPr>
        <a:xfrm>
          <a:off x="1047750" y="1485900"/>
          <a:ext cx="276225" cy="1209675"/>
        </a:xfrm>
        <a:prstGeom prst="lef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ko-KR" altLang="en-US" sz="1100"/>
        </a:p>
      </xdr:txBody>
    </xdr:sp>
    <xdr:clientData/>
  </xdr:twoCellAnchor>
  <xdr:twoCellAnchor>
    <xdr:from>
      <xdr:col>1</xdr:col>
      <xdr:colOff>1257300</xdr:colOff>
      <xdr:row>10</xdr:row>
      <xdr:rowOff>66675</xdr:rowOff>
    </xdr:from>
    <xdr:to>
      <xdr:col>2</xdr:col>
      <xdr:colOff>0</xdr:colOff>
      <xdr:row>18</xdr:row>
      <xdr:rowOff>95250</xdr:rowOff>
    </xdr:to>
    <xdr:sp macro="" textlink="">
      <xdr:nvSpPr>
        <xdr:cNvPr id="4" name="왼쪽 중괄호 3"/>
        <xdr:cNvSpPr/>
      </xdr:nvSpPr>
      <xdr:spPr>
        <a:xfrm>
          <a:off x="3467100" y="3400425"/>
          <a:ext cx="209550" cy="2352675"/>
        </a:xfrm>
        <a:prstGeom prst="lef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ko-KR" altLang="en-US" sz="1100"/>
        </a:p>
      </xdr:txBody>
    </xdr:sp>
    <xdr:clientData/>
  </xdr:twoCellAnchor>
  <xdr:twoCellAnchor>
    <xdr:from>
      <xdr:col>1</xdr:col>
      <xdr:colOff>1209675</xdr:colOff>
      <xdr:row>23</xdr:row>
      <xdr:rowOff>133350</xdr:rowOff>
    </xdr:from>
    <xdr:to>
      <xdr:col>2</xdr:col>
      <xdr:colOff>1</xdr:colOff>
      <xdr:row>33</xdr:row>
      <xdr:rowOff>209550</xdr:rowOff>
    </xdr:to>
    <xdr:sp macro="" textlink="">
      <xdr:nvSpPr>
        <xdr:cNvPr id="5" name="왼쪽 중괄호 4"/>
        <xdr:cNvSpPr/>
      </xdr:nvSpPr>
      <xdr:spPr>
        <a:xfrm>
          <a:off x="2438400" y="7677150"/>
          <a:ext cx="257176" cy="3257550"/>
        </a:xfrm>
        <a:prstGeom prst="lef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ko-KR" altLang="en-US" sz="1100"/>
        </a:p>
      </xdr:txBody>
    </xdr:sp>
    <xdr:clientData/>
  </xdr:twoCellAnchor>
  <xdr:twoCellAnchor>
    <xdr:from>
      <xdr:col>2</xdr:col>
      <xdr:colOff>904875</xdr:colOff>
      <xdr:row>25</xdr:row>
      <xdr:rowOff>38100</xdr:rowOff>
    </xdr:from>
    <xdr:to>
      <xdr:col>2</xdr:col>
      <xdr:colOff>1390650</xdr:colOff>
      <xdr:row>29</xdr:row>
      <xdr:rowOff>352425</xdr:rowOff>
    </xdr:to>
    <xdr:sp macro="" textlink="">
      <xdr:nvSpPr>
        <xdr:cNvPr id="6" name="왼쪽 중괄호 5"/>
        <xdr:cNvSpPr/>
      </xdr:nvSpPr>
      <xdr:spPr>
        <a:xfrm>
          <a:off x="5133975" y="8286750"/>
          <a:ext cx="485775" cy="1800225"/>
        </a:xfrm>
        <a:prstGeom prst="leftBrace">
          <a:avLst>
            <a:gd name="adj1" fmla="val 8333"/>
            <a:gd name="adj2" fmla="val 48895"/>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ko-KR" altLang="en-US" sz="1100"/>
        </a:p>
      </xdr:txBody>
    </xdr:sp>
    <xdr:clientData/>
  </xdr:twoCellAnchor>
  <xdr:twoCellAnchor>
    <xdr:from>
      <xdr:col>3</xdr:col>
      <xdr:colOff>962025</xdr:colOff>
      <xdr:row>27</xdr:row>
      <xdr:rowOff>9526</xdr:rowOff>
    </xdr:from>
    <xdr:to>
      <xdr:col>4</xdr:col>
      <xdr:colOff>0</xdr:colOff>
      <xdr:row>29</xdr:row>
      <xdr:rowOff>495300</xdr:rowOff>
    </xdr:to>
    <xdr:sp macro="" textlink="">
      <xdr:nvSpPr>
        <xdr:cNvPr id="7" name="왼쪽 중괄호 6"/>
        <xdr:cNvSpPr/>
      </xdr:nvSpPr>
      <xdr:spPr>
        <a:xfrm>
          <a:off x="7610475" y="8867776"/>
          <a:ext cx="514350" cy="1076324"/>
        </a:xfrm>
        <a:prstGeom prst="leftBrace">
          <a:avLst>
            <a:gd name="adj1" fmla="val 8333"/>
            <a:gd name="adj2" fmla="val 48895"/>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ko-KR" altLang="en-US" sz="1100"/>
        </a:p>
      </xdr:txBody>
    </xdr:sp>
    <xdr:clientData/>
  </xdr:twoCellAnchor>
  <xdr:twoCellAnchor>
    <xdr:from>
      <xdr:col>2</xdr:col>
      <xdr:colOff>828675</xdr:colOff>
      <xdr:row>31</xdr:row>
      <xdr:rowOff>47626</xdr:rowOff>
    </xdr:from>
    <xdr:to>
      <xdr:col>3</xdr:col>
      <xdr:colOff>19050</xdr:colOff>
      <xdr:row>36</xdr:row>
      <xdr:rowOff>0</xdr:rowOff>
    </xdr:to>
    <xdr:sp macro="" textlink="">
      <xdr:nvSpPr>
        <xdr:cNvPr id="8" name="왼쪽 중괄호 7"/>
        <xdr:cNvSpPr/>
      </xdr:nvSpPr>
      <xdr:spPr>
        <a:xfrm>
          <a:off x="5057775" y="10372726"/>
          <a:ext cx="657225" cy="1514474"/>
        </a:xfrm>
        <a:prstGeom prst="leftBrace">
          <a:avLst>
            <a:gd name="adj1" fmla="val 8333"/>
            <a:gd name="adj2" fmla="val 48895"/>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ko-KR" altLang="en-US" sz="1100"/>
        </a:p>
      </xdr:txBody>
    </xdr:sp>
    <xdr:clientData/>
  </xdr:twoCellAnchor>
  <xdr:twoCellAnchor>
    <xdr:from>
      <xdr:col>0</xdr:col>
      <xdr:colOff>914400</xdr:colOff>
      <xdr:row>11</xdr:row>
      <xdr:rowOff>104775</xdr:rowOff>
    </xdr:from>
    <xdr:to>
      <xdr:col>1</xdr:col>
      <xdr:colOff>1</xdr:colOff>
      <xdr:row>26</xdr:row>
      <xdr:rowOff>257175</xdr:rowOff>
    </xdr:to>
    <xdr:sp macro="" textlink="">
      <xdr:nvSpPr>
        <xdr:cNvPr id="9" name="왼쪽 중괄호 8"/>
        <xdr:cNvSpPr/>
      </xdr:nvSpPr>
      <xdr:spPr>
        <a:xfrm>
          <a:off x="914400" y="4162425"/>
          <a:ext cx="314326" cy="4953000"/>
        </a:xfrm>
        <a:prstGeom prst="lef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ko-KR" altLang="en-US" sz="1100"/>
        </a:p>
      </xdr:txBody>
    </xdr:sp>
    <xdr:clientData/>
  </xdr:twoCellAnchor>
  <xdr:twoCellAnchor>
    <xdr:from>
      <xdr:col>2</xdr:col>
      <xdr:colOff>962025</xdr:colOff>
      <xdr:row>17</xdr:row>
      <xdr:rowOff>104776</xdr:rowOff>
    </xdr:from>
    <xdr:to>
      <xdr:col>3</xdr:col>
      <xdr:colOff>9525</xdr:colOff>
      <xdr:row>21</xdr:row>
      <xdr:rowOff>133350</xdr:rowOff>
    </xdr:to>
    <xdr:sp macro="" textlink="">
      <xdr:nvSpPr>
        <xdr:cNvPr id="10" name="왼쪽 중괄호 9"/>
        <xdr:cNvSpPr/>
      </xdr:nvSpPr>
      <xdr:spPr>
        <a:xfrm>
          <a:off x="5191125" y="5553076"/>
          <a:ext cx="514350" cy="1171574"/>
        </a:xfrm>
        <a:prstGeom prst="leftBrace">
          <a:avLst>
            <a:gd name="adj1" fmla="val 8333"/>
            <a:gd name="adj2" fmla="val 48895"/>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ko-KR" altLang="en-US" sz="1100"/>
        </a:p>
      </xdr:txBody>
    </xdr:sp>
    <xdr:clientData/>
  </xdr:twoCellAnchor>
  <xdr:twoCellAnchor>
    <xdr:from>
      <xdr:col>2</xdr:col>
      <xdr:colOff>952500</xdr:colOff>
      <xdr:row>11</xdr:row>
      <xdr:rowOff>114300</xdr:rowOff>
    </xdr:from>
    <xdr:to>
      <xdr:col>3</xdr:col>
      <xdr:colOff>0</xdr:colOff>
      <xdr:row>15</xdr:row>
      <xdr:rowOff>171449</xdr:rowOff>
    </xdr:to>
    <xdr:sp macro="" textlink="">
      <xdr:nvSpPr>
        <xdr:cNvPr id="11" name="왼쪽 중괄호 10"/>
        <xdr:cNvSpPr/>
      </xdr:nvSpPr>
      <xdr:spPr>
        <a:xfrm>
          <a:off x="5181600" y="3962400"/>
          <a:ext cx="514350" cy="1028699"/>
        </a:xfrm>
        <a:prstGeom prst="leftBrace">
          <a:avLst>
            <a:gd name="adj1" fmla="val 8333"/>
            <a:gd name="adj2" fmla="val 48895"/>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ko-KR" altLang="en-US" sz="1100"/>
        </a:p>
      </xdr:txBody>
    </xdr:sp>
    <xdr:clientData/>
  </xdr:twoCellAnchor>
  <xdr:twoCellAnchor editAs="oneCell">
    <xdr:from>
      <xdr:col>0</xdr:col>
      <xdr:colOff>0</xdr:colOff>
      <xdr:row>54</xdr:row>
      <xdr:rowOff>0</xdr:rowOff>
    </xdr:from>
    <xdr:to>
      <xdr:col>4</xdr:col>
      <xdr:colOff>1522936</xdr:colOff>
      <xdr:row>60</xdr:row>
      <xdr:rowOff>152224</xdr:rowOff>
    </xdr:to>
    <xdr:pic>
      <xdr:nvPicPr>
        <xdr:cNvPr id="12" name="그림 11"/>
        <xdr:cNvPicPr>
          <a:picLocks noChangeAspect="1"/>
        </xdr:cNvPicPr>
      </xdr:nvPicPr>
      <xdr:blipFill>
        <a:blip xmlns:r="http://schemas.openxmlformats.org/officeDocument/2006/relationships" r:embed="rId2"/>
        <a:stretch>
          <a:fillRect/>
        </a:stretch>
      </xdr:blipFill>
      <xdr:spPr>
        <a:xfrm>
          <a:off x="0" y="12534900"/>
          <a:ext cx="8514286" cy="1409524"/>
        </a:xfrm>
        <a:prstGeom prst="rect">
          <a:avLst/>
        </a:prstGeom>
      </xdr:spPr>
    </xdr:pic>
    <xdr:clientData/>
  </xdr:twoCellAnchor>
  <xdr:twoCellAnchor editAs="oneCell">
    <xdr:from>
      <xdr:col>0</xdr:col>
      <xdr:colOff>28575</xdr:colOff>
      <xdr:row>65</xdr:row>
      <xdr:rowOff>9525</xdr:rowOff>
    </xdr:from>
    <xdr:to>
      <xdr:col>4</xdr:col>
      <xdr:colOff>1084844</xdr:colOff>
      <xdr:row>72</xdr:row>
      <xdr:rowOff>37913</xdr:rowOff>
    </xdr:to>
    <xdr:pic>
      <xdr:nvPicPr>
        <xdr:cNvPr id="13" name="그림 12"/>
        <xdr:cNvPicPr>
          <a:picLocks noChangeAspect="1"/>
        </xdr:cNvPicPr>
      </xdr:nvPicPr>
      <xdr:blipFill>
        <a:blip xmlns:r="http://schemas.openxmlformats.org/officeDocument/2006/relationships" r:embed="rId3"/>
        <a:stretch>
          <a:fillRect/>
        </a:stretch>
      </xdr:blipFill>
      <xdr:spPr>
        <a:xfrm>
          <a:off x="28575" y="16668750"/>
          <a:ext cx="8047619" cy="1495238"/>
        </a:xfrm>
        <a:prstGeom prst="rect">
          <a:avLst/>
        </a:prstGeom>
      </xdr:spPr>
    </xdr:pic>
    <xdr:clientData/>
  </xdr:twoCellAnchor>
  <xdr:twoCellAnchor editAs="oneCell">
    <xdr:from>
      <xdr:col>0</xdr:col>
      <xdr:colOff>0</xdr:colOff>
      <xdr:row>77</xdr:row>
      <xdr:rowOff>0</xdr:rowOff>
    </xdr:from>
    <xdr:to>
      <xdr:col>4</xdr:col>
      <xdr:colOff>2046745</xdr:colOff>
      <xdr:row>83</xdr:row>
      <xdr:rowOff>133176</xdr:rowOff>
    </xdr:to>
    <xdr:pic>
      <xdr:nvPicPr>
        <xdr:cNvPr id="14" name="그림 13"/>
        <xdr:cNvPicPr>
          <a:picLocks noChangeAspect="1"/>
        </xdr:cNvPicPr>
      </xdr:nvPicPr>
      <xdr:blipFill>
        <a:blip xmlns:r="http://schemas.openxmlformats.org/officeDocument/2006/relationships" r:embed="rId4"/>
        <a:stretch>
          <a:fillRect/>
        </a:stretch>
      </xdr:blipFill>
      <xdr:spPr>
        <a:xfrm>
          <a:off x="0" y="16935450"/>
          <a:ext cx="9038095" cy="1390476"/>
        </a:xfrm>
        <a:prstGeom prst="rect">
          <a:avLst/>
        </a:prstGeom>
      </xdr:spPr>
    </xdr:pic>
    <xdr:clientData/>
  </xdr:twoCellAnchor>
  <xdr:twoCellAnchor editAs="oneCell">
    <xdr:from>
      <xdr:col>0</xdr:col>
      <xdr:colOff>9525</xdr:colOff>
      <xdr:row>88</xdr:row>
      <xdr:rowOff>19050</xdr:rowOff>
    </xdr:from>
    <xdr:to>
      <xdr:col>4</xdr:col>
      <xdr:colOff>1484842</xdr:colOff>
      <xdr:row>95</xdr:row>
      <xdr:rowOff>199819</xdr:rowOff>
    </xdr:to>
    <xdr:pic>
      <xdr:nvPicPr>
        <xdr:cNvPr id="15" name="그림 14"/>
        <xdr:cNvPicPr>
          <a:picLocks noChangeAspect="1"/>
        </xdr:cNvPicPr>
      </xdr:nvPicPr>
      <xdr:blipFill>
        <a:blip xmlns:r="http://schemas.openxmlformats.org/officeDocument/2006/relationships" r:embed="rId5"/>
        <a:stretch>
          <a:fillRect/>
        </a:stretch>
      </xdr:blipFill>
      <xdr:spPr>
        <a:xfrm>
          <a:off x="9525" y="21288375"/>
          <a:ext cx="8466667" cy="1647619"/>
        </a:xfrm>
        <a:prstGeom prst="rect">
          <a:avLst/>
        </a:prstGeom>
      </xdr:spPr>
    </xdr:pic>
    <xdr:clientData/>
  </xdr:twoCellAnchor>
  <xdr:twoCellAnchor editAs="oneCell">
    <xdr:from>
      <xdr:col>0</xdr:col>
      <xdr:colOff>0</xdr:colOff>
      <xdr:row>98</xdr:row>
      <xdr:rowOff>190500</xdr:rowOff>
    </xdr:from>
    <xdr:to>
      <xdr:col>3</xdr:col>
      <xdr:colOff>2723280</xdr:colOff>
      <xdr:row>105</xdr:row>
      <xdr:rowOff>76031</xdr:rowOff>
    </xdr:to>
    <xdr:pic>
      <xdr:nvPicPr>
        <xdr:cNvPr id="16" name="그림 15"/>
        <xdr:cNvPicPr>
          <a:picLocks noChangeAspect="1"/>
        </xdr:cNvPicPr>
      </xdr:nvPicPr>
      <xdr:blipFill>
        <a:blip xmlns:r="http://schemas.openxmlformats.org/officeDocument/2006/relationships" r:embed="rId6"/>
        <a:stretch>
          <a:fillRect/>
        </a:stretch>
      </xdr:blipFill>
      <xdr:spPr>
        <a:xfrm>
          <a:off x="0" y="26927175"/>
          <a:ext cx="6961905" cy="1352381"/>
        </a:xfrm>
        <a:prstGeom prst="rect">
          <a:avLst/>
        </a:prstGeom>
      </xdr:spPr>
    </xdr:pic>
    <xdr:clientData/>
  </xdr:twoCellAnchor>
  <xdr:twoCellAnchor editAs="oneCell">
    <xdr:from>
      <xdr:col>0</xdr:col>
      <xdr:colOff>76200</xdr:colOff>
      <xdr:row>117</xdr:row>
      <xdr:rowOff>13685</xdr:rowOff>
    </xdr:from>
    <xdr:to>
      <xdr:col>2</xdr:col>
      <xdr:colOff>1532565</xdr:colOff>
      <xdr:row>123</xdr:row>
      <xdr:rowOff>85418</xdr:rowOff>
    </xdr:to>
    <xdr:pic>
      <xdr:nvPicPr>
        <xdr:cNvPr id="17" name="그림 16"/>
        <xdr:cNvPicPr>
          <a:picLocks noChangeAspect="1"/>
        </xdr:cNvPicPr>
      </xdr:nvPicPr>
      <xdr:blipFill>
        <a:blip xmlns:r="http://schemas.openxmlformats.org/officeDocument/2006/relationships" r:embed="rId7"/>
        <a:stretch>
          <a:fillRect/>
        </a:stretch>
      </xdr:blipFill>
      <xdr:spPr>
        <a:xfrm>
          <a:off x="76200" y="27855260"/>
          <a:ext cx="4151940" cy="1329033"/>
        </a:xfrm>
        <a:prstGeom prst="rect">
          <a:avLst/>
        </a:prstGeom>
      </xdr:spPr>
    </xdr:pic>
    <xdr:clientData/>
  </xdr:twoCellAnchor>
  <xdr:twoCellAnchor editAs="oneCell">
    <xdr:from>
      <xdr:col>6</xdr:col>
      <xdr:colOff>19050</xdr:colOff>
      <xdr:row>87</xdr:row>
      <xdr:rowOff>9525</xdr:rowOff>
    </xdr:from>
    <xdr:to>
      <xdr:col>13</xdr:col>
      <xdr:colOff>618336</xdr:colOff>
      <xdr:row>96</xdr:row>
      <xdr:rowOff>9289</xdr:rowOff>
    </xdr:to>
    <xdr:pic>
      <xdr:nvPicPr>
        <xdr:cNvPr id="18" name="그림 17"/>
        <xdr:cNvPicPr>
          <a:picLocks noChangeAspect="1"/>
        </xdr:cNvPicPr>
      </xdr:nvPicPr>
      <xdr:blipFill>
        <a:blip xmlns:r="http://schemas.openxmlformats.org/officeDocument/2006/relationships" r:embed="rId8"/>
        <a:stretch>
          <a:fillRect/>
        </a:stretch>
      </xdr:blipFill>
      <xdr:spPr>
        <a:xfrm>
          <a:off x="8639175" y="21069300"/>
          <a:ext cx="6314286" cy="1885714"/>
        </a:xfrm>
        <a:prstGeom prst="rect">
          <a:avLst/>
        </a:prstGeom>
      </xdr:spPr>
    </xdr:pic>
    <xdr:clientData/>
  </xdr:twoCellAnchor>
  <xdr:twoCellAnchor editAs="oneCell">
    <xdr:from>
      <xdr:col>2</xdr:col>
      <xdr:colOff>485775</xdr:colOff>
      <xdr:row>107</xdr:row>
      <xdr:rowOff>371475</xdr:rowOff>
    </xdr:from>
    <xdr:to>
      <xdr:col>4</xdr:col>
      <xdr:colOff>1351905</xdr:colOff>
      <xdr:row>114</xdr:row>
      <xdr:rowOff>209326</xdr:rowOff>
    </xdr:to>
    <xdr:pic>
      <xdr:nvPicPr>
        <xdr:cNvPr id="19" name="그림 18"/>
        <xdr:cNvPicPr>
          <a:picLocks noChangeAspect="1"/>
        </xdr:cNvPicPr>
      </xdr:nvPicPr>
      <xdr:blipFill>
        <a:blip xmlns:r="http://schemas.openxmlformats.org/officeDocument/2006/relationships" r:embed="rId9"/>
        <a:stretch>
          <a:fillRect/>
        </a:stretch>
      </xdr:blipFill>
      <xdr:spPr>
        <a:xfrm>
          <a:off x="3181350" y="28994100"/>
          <a:ext cx="5161905" cy="1790476"/>
        </a:xfrm>
        <a:prstGeom prst="rect">
          <a:avLst/>
        </a:prstGeom>
      </xdr:spPr>
    </xdr:pic>
    <xdr:clientData/>
  </xdr:twoCellAnchor>
  <xdr:twoCellAnchor editAs="oneCell">
    <xdr:from>
      <xdr:col>5</xdr:col>
      <xdr:colOff>571500</xdr:colOff>
      <xdr:row>65</xdr:row>
      <xdr:rowOff>47625</xdr:rowOff>
    </xdr:from>
    <xdr:to>
      <xdr:col>12</xdr:col>
      <xdr:colOff>161224</xdr:colOff>
      <xdr:row>72</xdr:row>
      <xdr:rowOff>161727</xdr:rowOff>
    </xdr:to>
    <xdr:pic>
      <xdr:nvPicPr>
        <xdr:cNvPr id="20" name="그림 19"/>
        <xdr:cNvPicPr>
          <a:picLocks noChangeAspect="1"/>
        </xdr:cNvPicPr>
      </xdr:nvPicPr>
      <xdr:blipFill>
        <a:blip xmlns:r="http://schemas.openxmlformats.org/officeDocument/2006/relationships" r:embed="rId10"/>
        <a:stretch>
          <a:fillRect/>
        </a:stretch>
      </xdr:blipFill>
      <xdr:spPr>
        <a:xfrm>
          <a:off x="9686925" y="16706850"/>
          <a:ext cx="5609524" cy="1580952"/>
        </a:xfrm>
        <a:prstGeom prst="rect">
          <a:avLst/>
        </a:prstGeom>
      </xdr:spPr>
    </xdr:pic>
    <xdr:clientData/>
  </xdr:twoCellAnchor>
  <xdr:twoCellAnchor editAs="oneCell">
    <xdr:from>
      <xdr:col>5</xdr:col>
      <xdr:colOff>952500</xdr:colOff>
      <xdr:row>77</xdr:row>
      <xdr:rowOff>101429</xdr:rowOff>
    </xdr:from>
    <xdr:to>
      <xdr:col>10</xdr:col>
      <xdr:colOff>609004</xdr:colOff>
      <xdr:row>84</xdr:row>
      <xdr:rowOff>9335</xdr:rowOff>
    </xdr:to>
    <xdr:pic>
      <xdr:nvPicPr>
        <xdr:cNvPr id="21" name="그림 20"/>
        <xdr:cNvPicPr>
          <a:picLocks noChangeAspect="1"/>
        </xdr:cNvPicPr>
      </xdr:nvPicPr>
      <xdr:blipFill>
        <a:blip xmlns:r="http://schemas.openxmlformats.org/officeDocument/2006/relationships" r:embed="rId11"/>
        <a:stretch>
          <a:fillRect/>
        </a:stretch>
      </xdr:blipFill>
      <xdr:spPr>
        <a:xfrm>
          <a:off x="10067925" y="19065704"/>
          <a:ext cx="4304704" cy="1374756"/>
        </a:xfrm>
        <a:prstGeom prst="rect">
          <a:avLst/>
        </a:prstGeom>
      </xdr:spPr>
    </xdr:pic>
    <xdr:clientData/>
  </xdr:twoCellAnchor>
  <xdr:twoCellAnchor editAs="oneCell">
    <xdr:from>
      <xdr:col>6</xdr:col>
      <xdr:colOff>0</xdr:colOff>
      <xdr:row>55</xdr:row>
      <xdr:rowOff>0</xdr:rowOff>
    </xdr:from>
    <xdr:to>
      <xdr:col>12</xdr:col>
      <xdr:colOff>56514</xdr:colOff>
      <xdr:row>59</xdr:row>
      <xdr:rowOff>180848</xdr:rowOff>
    </xdr:to>
    <xdr:pic>
      <xdr:nvPicPr>
        <xdr:cNvPr id="22" name="그림 21"/>
        <xdr:cNvPicPr>
          <a:picLocks noChangeAspect="1"/>
        </xdr:cNvPicPr>
      </xdr:nvPicPr>
      <xdr:blipFill>
        <a:blip xmlns:r="http://schemas.openxmlformats.org/officeDocument/2006/relationships" r:embed="rId12"/>
        <a:stretch>
          <a:fillRect/>
        </a:stretch>
      </xdr:blipFill>
      <xdr:spPr>
        <a:xfrm>
          <a:off x="10106025" y="14773275"/>
          <a:ext cx="5085714" cy="1019048"/>
        </a:xfrm>
        <a:prstGeom prst="rect">
          <a:avLst/>
        </a:prstGeom>
      </xdr:spPr>
    </xdr:pic>
    <xdr:clientData/>
  </xdr:twoCellAnchor>
  <xdr:twoCellAnchor editAs="oneCell">
    <xdr:from>
      <xdr:col>14</xdr:col>
      <xdr:colOff>261937</xdr:colOff>
      <xdr:row>86</xdr:row>
      <xdr:rowOff>416718</xdr:rowOff>
    </xdr:from>
    <xdr:to>
      <xdr:col>23</xdr:col>
      <xdr:colOff>589731</xdr:colOff>
      <xdr:row>95</xdr:row>
      <xdr:rowOff>154536</xdr:rowOff>
    </xdr:to>
    <xdr:pic>
      <xdr:nvPicPr>
        <xdr:cNvPr id="23" name="그림 22"/>
        <xdr:cNvPicPr>
          <a:picLocks noChangeAspect="1"/>
        </xdr:cNvPicPr>
      </xdr:nvPicPr>
      <xdr:blipFill>
        <a:blip xmlns:r="http://schemas.openxmlformats.org/officeDocument/2006/relationships" r:embed="rId13"/>
        <a:stretch>
          <a:fillRect/>
        </a:stretch>
      </xdr:blipFill>
      <xdr:spPr>
        <a:xfrm>
          <a:off x="16787812" y="24431624"/>
          <a:ext cx="6542857" cy="1952381"/>
        </a:xfrm>
        <a:prstGeom prst="rect">
          <a:avLst/>
        </a:prstGeom>
      </xdr:spPr>
    </xdr:pic>
    <xdr:clientData/>
  </xdr:twoCellAnchor>
  <xdr:twoCellAnchor editAs="oneCell">
    <xdr:from>
      <xdr:col>3</xdr:col>
      <xdr:colOff>1178719</xdr:colOff>
      <xdr:row>117</xdr:row>
      <xdr:rowOff>142875</xdr:rowOff>
    </xdr:from>
    <xdr:to>
      <xdr:col>4</xdr:col>
      <xdr:colOff>285518</xdr:colOff>
      <xdr:row>124</xdr:row>
      <xdr:rowOff>52211</xdr:rowOff>
    </xdr:to>
    <xdr:pic>
      <xdr:nvPicPr>
        <xdr:cNvPr id="24" name="그림 23"/>
        <xdr:cNvPicPr>
          <a:picLocks noChangeAspect="1"/>
        </xdr:cNvPicPr>
      </xdr:nvPicPr>
      <xdr:blipFill>
        <a:blip xmlns:r="http://schemas.openxmlformats.org/officeDocument/2006/relationships" r:embed="rId14"/>
        <a:stretch>
          <a:fillRect/>
        </a:stretch>
      </xdr:blipFill>
      <xdr:spPr>
        <a:xfrm>
          <a:off x="5417344" y="32099250"/>
          <a:ext cx="1857143" cy="1409524"/>
        </a:xfrm>
        <a:prstGeom prst="rect">
          <a:avLst/>
        </a:prstGeom>
      </xdr:spPr>
    </xdr:pic>
    <xdr:clientData/>
  </xdr:twoCellAnchor>
  <xdr:twoCellAnchor editAs="oneCell">
    <xdr:from>
      <xdr:col>4</xdr:col>
      <xdr:colOff>107156</xdr:colOff>
      <xdr:row>115</xdr:row>
      <xdr:rowOff>428625</xdr:rowOff>
    </xdr:from>
    <xdr:to>
      <xdr:col>6</xdr:col>
      <xdr:colOff>742482</xdr:colOff>
      <xdr:row>125</xdr:row>
      <xdr:rowOff>16409</xdr:rowOff>
    </xdr:to>
    <xdr:pic>
      <xdr:nvPicPr>
        <xdr:cNvPr id="25" name="그림 24"/>
        <xdr:cNvPicPr>
          <a:picLocks noChangeAspect="1"/>
        </xdr:cNvPicPr>
      </xdr:nvPicPr>
      <xdr:blipFill>
        <a:blip xmlns:r="http://schemas.openxmlformats.org/officeDocument/2006/relationships" r:embed="rId15"/>
        <a:stretch>
          <a:fillRect/>
        </a:stretch>
      </xdr:blipFill>
      <xdr:spPr>
        <a:xfrm>
          <a:off x="7096125" y="31611094"/>
          <a:ext cx="3742857" cy="207619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28575</xdr:colOff>
      <xdr:row>4</xdr:row>
      <xdr:rowOff>0</xdr:rowOff>
    </xdr:from>
    <xdr:to>
      <xdr:col>3</xdr:col>
      <xdr:colOff>1562440</xdr:colOff>
      <xdr:row>4</xdr:row>
      <xdr:rowOff>1590675</xdr:rowOff>
    </xdr:to>
    <xdr:pic>
      <xdr:nvPicPr>
        <xdr:cNvPr id="3" name="그림 2"/>
        <xdr:cNvPicPr>
          <a:picLocks noChangeAspect="1"/>
        </xdr:cNvPicPr>
      </xdr:nvPicPr>
      <xdr:blipFill>
        <a:blip xmlns:r="http://schemas.openxmlformats.org/officeDocument/2006/relationships" r:embed="rId1"/>
        <a:stretch>
          <a:fillRect/>
        </a:stretch>
      </xdr:blipFill>
      <xdr:spPr>
        <a:xfrm>
          <a:off x="3057525" y="3028950"/>
          <a:ext cx="1533865" cy="1590675"/>
        </a:xfrm>
        <a:prstGeom prst="rect">
          <a:avLst/>
        </a:prstGeom>
      </xdr:spPr>
    </xdr:pic>
    <xdr:clientData/>
  </xdr:twoCellAnchor>
  <xdr:twoCellAnchor editAs="oneCell">
    <xdr:from>
      <xdr:col>3</xdr:col>
      <xdr:colOff>1</xdr:colOff>
      <xdr:row>5</xdr:row>
      <xdr:rowOff>0</xdr:rowOff>
    </xdr:from>
    <xdr:to>
      <xdr:col>3</xdr:col>
      <xdr:colOff>1495425</xdr:colOff>
      <xdr:row>5</xdr:row>
      <xdr:rowOff>1528075</xdr:rowOff>
    </xdr:to>
    <xdr:pic>
      <xdr:nvPicPr>
        <xdr:cNvPr id="4" name="그림 3"/>
        <xdr:cNvPicPr>
          <a:picLocks noChangeAspect="1"/>
        </xdr:cNvPicPr>
      </xdr:nvPicPr>
      <xdr:blipFill>
        <a:blip xmlns:r="http://schemas.openxmlformats.org/officeDocument/2006/relationships" r:embed="rId2"/>
        <a:stretch>
          <a:fillRect/>
        </a:stretch>
      </xdr:blipFill>
      <xdr:spPr>
        <a:xfrm>
          <a:off x="3028951" y="4714875"/>
          <a:ext cx="1495424" cy="1528075"/>
        </a:xfrm>
        <a:prstGeom prst="rect">
          <a:avLst/>
        </a:prstGeom>
      </xdr:spPr>
    </xdr:pic>
    <xdr:clientData/>
  </xdr:twoCellAnchor>
  <xdr:twoCellAnchor editAs="oneCell">
    <xdr:from>
      <xdr:col>3</xdr:col>
      <xdr:colOff>190500</xdr:colOff>
      <xdr:row>6</xdr:row>
      <xdr:rowOff>9525</xdr:rowOff>
    </xdr:from>
    <xdr:to>
      <xdr:col>3</xdr:col>
      <xdr:colOff>1524000</xdr:colOff>
      <xdr:row>6</xdr:row>
      <xdr:rowOff>1296643</xdr:rowOff>
    </xdr:to>
    <xdr:pic>
      <xdr:nvPicPr>
        <xdr:cNvPr id="5" name="그림 4"/>
        <xdr:cNvPicPr>
          <a:picLocks noChangeAspect="1"/>
        </xdr:cNvPicPr>
      </xdr:nvPicPr>
      <xdr:blipFill>
        <a:blip xmlns:r="http://schemas.openxmlformats.org/officeDocument/2006/relationships" r:embed="rId3"/>
        <a:stretch>
          <a:fillRect/>
        </a:stretch>
      </xdr:blipFill>
      <xdr:spPr>
        <a:xfrm>
          <a:off x="7962900" y="5362575"/>
          <a:ext cx="1333500" cy="1287118"/>
        </a:xfrm>
        <a:prstGeom prst="rect">
          <a:avLst/>
        </a:prstGeom>
      </xdr:spPr>
    </xdr:pic>
    <xdr:clientData/>
  </xdr:twoCellAnchor>
  <xdr:twoCellAnchor editAs="oneCell">
    <xdr:from>
      <xdr:col>3</xdr:col>
      <xdr:colOff>66675</xdr:colOff>
      <xdr:row>7</xdr:row>
      <xdr:rowOff>66675</xdr:rowOff>
    </xdr:from>
    <xdr:to>
      <xdr:col>3</xdr:col>
      <xdr:colOff>1152872</xdr:colOff>
      <xdr:row>7</xdr:row>
      <xdr:rowOff>1447800</xdr:rowOff>
    </xdr:to>
    <xdr:pic>
      <xdr:nvPicPr>
        <xdr:cNvPr id="6" name="그림 5"/>
        <xdr:cNvPicPr>
          <a:picLocks noChangeAspect="1"/>
        </xdr:cNvPicPr>
      </xdr:nvPicPr>
      <xdr:blipFill>
        <a:blip xmlns:r="http://schemas.openxmlformats.org/officeDocument/2006/relationships" r:embed="rId4"/>
        <a:stretch>
          <a:fillRect/>
        </a:stretch>
      </xdr:blipFill>
      <xdr:spPr>
        <a:xfrm>
          <a:off x="3962400" y="6581775"/>
          <a:ext cx="1086197" cy="1381125"/>
        </a:xfrm>
        <a:prstGeom prst="rect">
          <a:avLst/>
        </a:prstGeom>
      </xdr:spPr>
    </xdr:pic>
    <xdr:clientData/>
  </xdr:twoCellAnchor>
  <xdr:twoCellAnchor editAs="oneCell">
    <xdr:from>
      <xdr:col>3</xdr:col>
      <xdr:colOff>76200</xdr:colOff>
      <xdr:row>9</xdr:row>
      <xdr:rowOff>53739</xdr:rowOff>
    </xdr:from>
    <xdr:to>
      <xdr:col>3</xdr:col>
      <xdr:colOff>1743075</xdr:colOff>
      <xdr:row>9</xdr:row>
      <xdr:rowOff>1266602</xdr:rowOff>
    </xdr:to>
    <xdr:pic>
      <xdr:nvPicPr>
        <xdr:cNvPr id="8" name="그림 7"/>
        <xdr:cNvPicPr>
          <a:picLocks noChangeAspect="1"/>
        </xdr:cNvPicPr>
      </xdr:nvPicPr>
      <xdr:blipFill>
        <a:blip xmlns:r="http://schemas.openxmlformats.org/officeDocument/2006/relationships" r:embed="rId5"/>
        <a:stretch>
          <a:fillRect/>
        </a:stretch>
      </xdr:blipFill>
      <xdr:spPr>
        <a:xfrm>
          <a:off x="4543425" y="9778764"/>
          <a:ext cx="1666875" cy="1212863"/>
        </a:xfrm>
        <a:prstGeom prst="rect">
          <a:avLst/>
        </a:prstGeom>
      </xdr:spPr>
    </xdr:pic>
    <xdr:clientData/>
  </xdr:twoCellAnchor>
  <xdr:oneCellAnchor>
    <xdr:from>
      <xdr:col>3</xdr:col>
      <xdr:colOff>76200</xdr:colOff>
      <xdr:row>10</xdr:row>
      <xdr:rowOff>0</xdr:rowOff>
    </xdr:from>
    <xdr:ext cx="1590675" cy="1325563"/>
    <xdr:pic>
      <xdr:nvPicPr>
        <xdr:cNvPr id="10" name="그림 9"/>
        <xdr:cNvPicPr>
          <a:picLocks noChangeAspect="1"/>
        </xdr:cNvPicPr>
      </xdr:nvPicPr>
      <xdr:blipFill>
        <a:blip xmlns:r="http://schemas.openxmlformats.org/officeDocument/2006/relationships" r:embed="rId6"/>
        <a:stretch>
          <a:fillRect/>
        </a:stretch>
      </xdr:blipFill>
      <xdr:spPr>
        <a:xfrm>
          <a:off x="4543425" y="13754100"/>
          <a:ext cx="1590675" cy="1325563"/>
        </a:xfrm>
        <a:prstGeom prst="rect">
          <a:avLst/>
        </a:prstGeom>
      </xdr:spPr>
    </xdr:pic>
    <xdr:clientData/>
  </xdr:oneCellAnchor>
  <xdr:twoCellAnchor editAs="oneCell">
    <xdr:from>
      <xdr:col>3</xdr:col>
      <xdr:colOff>80340</xdr:colOff>
      <xdr:row>19</xdr:row>
      <xdr:rowOff>0</xdr:rowOff>
    </xdr:from>
    <xdr:to>
      <xdr:col>3</xdr:col>
      <xdr:colOff>1723724</xdr:colOff>
      <xdr:row>19</xdr:row>
      <xdr:rowOff>1199931</xdr:rowOff>
    </xdr:to>
    <xdr:pic>
      <xdr:nvPicPr>
        <xdr:cNvPr id="11" name="그림 10"/>
        <xdr:cNvPicPr>
          <a:picLocks noChangeAspect="1"/>
        </xdr:cNvPicPr>
      </xdr:nvPicPr>
      <xdr:blipFill>
        <a:blip xmlns:r="http://schemas.openxmlformats.org/officeDocument/2006/relationships" r:embed="rId7"/>
        <a:stretch>
          <a:fillRect/>
        </a:stretch>
      </xdr:blipFill>
      <xdr:spPr>
        <a:xfrm>
          <a:off x="4547565" y="14954249"/>
          <a:ext cx="1643384" cy="1199931"/>
        </a:xfrm>
        <a:prstGeom prst="rect">
          <a:avLst/>
        </a:prstGeom>
      </xdr:spPr>
    </xdr:pic>
    <xdr:clientData/>
  </xdr:twoCellAnchor>
  <xdr:twoCellAnchor editAs="oneCell">
    <xdr:from>
      <xdr:col>3</xdr:col>
      <xdr:colOff>142875</xdr:colOff>
      <xdr:row>13</xdr:row>
      <xdr:rowOff>76200</xdr:rowOff>
    </xdr:from>
    <xdr:to>
      <xdr:col>3</xdr:col>
      <xdr:colOff>1592016</xdr:colOff>
      <xdr:row>13</xdr:row>
      <xdr:rowOff>1257300</xdr:rowOff>
    </xdr:to>
    <xdr:pic>
      <xdr:nvPicPr>
        <xdr:cNvPr id="13" name="그림 12"/>
        <xdr:cNvPicPr>
          <a:picLocks noChangeAspect="1"/>
        </xdr:cNvPicPr>
      </xdr:nvPicPr>
      <xdr:blipFill rotWithShape="1">
        <a:blip xmlns:r="http://schemas.openxmlformats.org/officeDocument/2006/relationships" r:embed="rId8"/>
        <a:srcRect l="3445"/>
        <a:stretch/>
      </xdr:blipFill>
      <xdr:spPr>
        <a:xfrm>
          <a:off x="4905375" y="13192125"/>
          <a:ext cx="1449141" cy="1181100"/>
        </a:xfrm>
        <a:prstGeom prst="rect">
          <a:avLst/>
        </a:prstGeom>
      </xdr:spPr>
    </xdr:pic>
    <xdr:clientData/>
  </xdr:twoCellAnchor>
  <xdr:twoCellAnchor editAs="oneCell">
    <xdr:from>
      <xdr:col>3</xdr:col>
      <xdr:colOff>47625</xdr:colOff>
      <xdr:row>14</xdr:row>
      <xdr:rowOff>0</xdr:rowOff>
    </xdr:from>
    <xdr:to>
      <xdr:col>3</xdr:col>
      <xdr:colOff>1691009</xdr:colOff>
      <xdr:row>14</xdr:row>
      <xdr:rowOff>1199931</xdr:rowOff>
    </xdr:to>
    <xdr:pic>
      <xdr:nvPicPr>
        <xdr:cNvPr id="14" name="그림 13"/>
        <xdr:cNvPicPr>
          <a:picLocks noChangeAspect="1"/>
        </xdr:cNvPicPr>
      </xdr:nvPicPr>
      <xdr:blipFill>
        <a:blip xmlns:r="http://schemas.openxmlformats.org/officeDocument/2006/relationships" r:embed="rId7"/>
        <a:stretch>
          <a:fillRect/>
        </a:stretch>
      </xdr:blipFill>
      <xdr:spPr>
        <a:xfrm>
          <a:off x="3467100" y="12363450"/>
          <a:ext cx="1643384" cy="1199931"/>
        </a:xfrm>
        <a:prstGeom prst="rect">
          <a:avLst/>
        </a:prstGeom>
      </xdr:spPr>
    </xdr:pic>
    <xdr:clientData/>
  </xdr:twoCellAnchor>
  <xdr:twoCellAnchor editAs="oneCell">
    <xdr:from>
      <xdr:col>3</xdr:col>
      <xdr:colOff>95251</xdr:colOff>
      <xdr:row>15</xdr:row>
      <xdr:rowOff>123825</xdr:rowOff>
    </xdr:from>
    <xdr:to>
      <xdr:col>3</xdr:col>
      <xdr:colOff>1371601</xdr:colOff>
      <xdr:row>15</xdr:row>
      <xdr:rowOff>1321630</xdr:rowOff>
    </xdr:to>
    <xdr:pic>
      <xdr:nvPicPr>
        <xdr:cNvPr id="15" name="그림 14"/>
        <xdr:cNvPicPr>
          <a:picLocks noChangeAspect="1"/>
        </xdr:cNvPicPr>
      </xdr:nvPicPr>
      <xdr:blipFill>
        <a:blip xmlns:r="http://schemas.openxmlformats.org/officeDocument/2006/relationships" r:embed="rId9"/>
        <a:stretch>
          <a:fillRect/>
        </a:stretch>
      </xdr:blipFill>
      <xdr:spPr>
        <a:xfrm>
          <a:off x="4857751" y="15906750"/>
          <a:ext cx="1276350" cy="1197805"/>
        </a:xfrm>
        <a:prstGeom prst="rect">
          <a:avLst/>
        </a:prstGeom>
      </xdr:spPr>
    </xdr:pic>
    <xdr:clientData/>
  </xdr:twoCellAnchor>
  <xdr:oneCellAnchor>
    <xdr:from>
      <xdr:col>3</xdr:col>
      <xdr:colOff>130629</xdr:colOff>
      <xdr:row>20</xdr:row>
      <xdr:rowOff>0</xdr:rowOff>
    </xdr:from>
    <xdr:ext cx="1107438" cy="1057100"/>
    <xdr:pic>
      <xdr:nvPicPr>
        <xdr:cNvPr id="17" name="그림 16"/>
        <xdr:cNvPicPr>
          <a:picLocks noChangeAspect="1"/>
        </xdr:cNvPicPr>
      </xdr:nvPicPr>
      <xdr:blipFill>
        <a:blip xmlns:r="http://schemas.openxmlformats.org/officeDocument/2006/relationships" r:embed="rId10"/>
        <a:stretch>
          <a:fillRect/>
        </a:stretch>
      </xdr:blipFill>
      <xdr:spPr>
        <a:xfrm>
          <a:off x="3550104" y="20373975"/>
          <a:ext cx="1107438" cy="1057100"/>
        </a:xfrm>
        <a:prstGeom prst="rect">
          <a:avLst/>
        </a:prstGeom>
      </xdr:spPr>
    </xdr:pic>
    <xdr:clientData/>
  </xdr:oneCellAnchor>
  <xdr:twoCellAnchor editAs="oneCell">
    <xdr:from>
      <xdr:col>3</xdr:col>
      <xdr:colOff>76200</xdr:colOff>
      <xdr:row>21</xdr:row>
      <xdr:rowOff>113629</xdr:rowOff>
    </xdr:from>
    <xdr:to>
      <xdr:col>3</xdr:col>
      <xdr:colOff>1533272</xdr:colOff>
      <xdr:row>21</xdr:row>
      <xdr:rowOff>1447568</xdr:rowOff>
    </xdr:to>
    <xdr:pic>
      <xdr:nvPicPr>
        <xdr:cNvPr id="18" name="그림 17"/>
        <xdr:cNvPicPr>
          <a:picLocks noChangeAspect="1"/>
        </xdr:cNvPicPr>
      </xdr:nvPicPr>
      <xdr:blipFill>
        <a:blip xmlns:r="http://schemas.openxmlformats.org/officeDocument/2006/relationships" r:embed="rId11"/>
        <a:stretch>
          <a:fillRect/>
        </a:stretch>
      </xdr:blipFill>
      <xdr:spPr>
        <a:xfrm>
          <a:off x="4838700" y="25612054"/>
          <a:ext cx="1457072" cy="1333939"/>
        </a:xfrm>
        <a:prstGeom prst="rect">
          <a:avLst/>
        </a:prstGeom>
      </xdr:spPr>
    </xdr:pic>
    <xdr:clientData/>
  </xdr:twoCellAnchor>
  <xdr:oneCellAnchor>
    <xdr:from>
      <xdr:col>3</xdr:col>
      <xdr:colOff>83004</xdr:colOff>
      <xdr:row>16</xdr:row>
      <xdr:rowOff>0</xdr:rowOff>
    </xdr:from>
    <xdr:ext cx="1107438" cy="1057100"/>
    <xdr:pic>
      <xdr:nvPicPr>
        <xdr:cNvPr id="19" name="그림 18"/>
        <xdr:cNvPicPr>
          <a:picLocks noChangeAspect="1"/>
        </xdr:cNvPicPr>
      </xdr:nvPicPr>
      <xdr:blipFill>
        <a:blip xmlns:r="http://schemas.openxmlformats.org/officeDocument/2006/relationships" r:embed="rId10"/>
        <a:stretch>
          <a:fillRect/>
        </a:stretch>
      </xdr:blipFill>
      <xdr:spPr>
        <a:xfrm>
          <a:off x="3502479" y="15240000"/>
          <a:ext cx="1107438" cy="1057100"/>
        </a:xfrm>
        <a:prstGeom prst="rect">
          <a:avLst/>
        </a:prstGeom>
      </xdr:spPr>
    </xdr:pic>
    <xdr:clientData/>
  </xdr:oneCellAnchor>
  <xdr:twoCellAnchor editAs="oneCell">
    <xdr:from>
      <xdr:col>3</xdr:col>
      <xdr:colOff>102760</xdr:colOff>
      <xdr:row>17</xdr:row>
      <xdr:rowOff>0</xdr:rowOff>
    </xdr:from>
    <xdr:to>
      <xdr:col>3</xdr:col>
      <xdr:colOff>1524000</xdr:colOff>
      <xdr:row>18</xdr:row>
      <xdr:rowOff>65597</xdr:rowOff>
    </xdr:to>
    <xdr:pic>
      <xdr:nvPicPr>
        <xdr:cNvPr id="21" name="그림 20"/>
        <xdr:cNvPicPr>
          <a:picLocks noChangeAspect="1"/>
        </xdr:cNvPicPr>
      </xdr:nvPicPr>
      <xdr:blipFill>
        <a:blip xmlns:r="http://schemas.openxmlformats.org/officeDocument/2006/relationships" r:embed="rId12"/>
        <a:stretch>
          <a:fillRect/>
        </a:stretch>
      </xdr:blipFill>
      <xdr:spPr>
        <a:xfrm>
          <a:off x="4655710" y="21993225"/>
          <a:ext cx="1421240" cy="1456247"/>
        </a:xfrm>
        <a:prstGeom prst="rect">
          <a:avLst/>
        </a:prstGeom>
      </xdr:spPr>
    </xdr:pic>
    <xdr:clientData/>
  </xdr:twoCellAnchor>
  <xdr:twoCellAnchor editAs="oneCell">
    <xdr:from>
      <xdr:col>3</xdr:col>
      <xdr:colOff>0</xdr:colOff>
      <xdr:row>8</xdr:row>
      <xdr:rowOff>266699</xdr:rowOff>
    </xdr:from>
    <xdr:to>
      <xdr:col>3</xdr:col>
      <xdr:colOff>1897628</xdr:colOff>
      <xdr:row>8</xdr:row>
      <xdr:rowOff>1447626</xdr:rowOff>
    </xdr:to>
    <xdr:pic>
      <xdr:nvPicPr>
        <xdr:cNvPr id="9" name="그림 8"/>
        <xdr:cNvPicPr>
          <a:picLocks noChangeAspect="1"/>
        </xdr:cNvPicPr>
      </xdr:nvPicPr>
      <xdr:blipFill>
        <a:blip xmlns:r="http://schemas.openxmlformats.org/officeDocument/2006/relationships" r:embed="rId13"/>
        <a:stretch>
          <a:fillRect/>
        </a:stretch>
      </xdr:blipFill>
      <xdr:spPr>
        <a:xfrm>
          <a:off x="9513045" y="8334374"/>
          <a:ext cx="1897628" cy="1180927"/>
        </a:xfrm>
        <a:prstGeom prst="rect">
          <a:avLst/>
        </a:prstGeom>
      </xdr:spPr>
    </xdr:pic>
    <xdr:clientData/>
  </xdr:twoCellAnchor>
  <xdr:twoCellAnchor editAs="oneCell">
    <xdr:from>
      <xdr:col>2</xdr:col>
      <xdr:colOff>1142999</xdr:colOff>
      <xdr:row>25</xdr:row>
      <xdr:rowOff>95251</xdr:rowOff>
    </xdr:from>
    <xdr:to>
      <xdr:col>3</xdr:col>
      <xdr:colOff>2495549</xdr:colOff>
      <xdr:row>37</xdr:row>
      <xdr:rowOff>121684</xdr:rowOff>
    </xdr:to>
    <xdr:pic>
      <xdr:nvPicPr>
        <xdr:cNvPr id="7" name="그림 6"/>
        <xdr:cNvPicPr>
          <a:picLocks noChangeAspect="1"/>
        </xdr:cNvPicPr>
      </xdr:nvPicPr>
      <xdr:blipFill rotWithShape="1">
        <a:blip xmlns:r="http://schemas.openxmlformats.org/officeDocument/2006/relationships" r:embed="rId14"/>
        <a:srcRect l="2236" r="12463"/>
        <a:stretch/>
      </xdr:blipFill>
      <xdr:spPr>
        <a:xfrm>
          <a:off x="2305049" y="25688926"/>
          <a:ext cx="3171825" cy="3064908"/>
        </a:xfrm>
        <a:prstGeom prst="rect">
          <a:avLst/>
        </a:prstGeom>
      </xdr:spPr>
    </xdr:pic>
    <xdr:clientData/>
  </xdr:twoCellAnchor>
  <xdr:twoCellAnchor editAs="oneCell">
    <xdr:from>
      <xdr:col>3</xdr:col>
      <xdr:colOff>228600</xdr:colOff>
      <xdr:row>49</xdr:row>
      <xdr:rowOff>56517</xdr:rowOff>
    </xdr:from>
    <xdr:to>
      <xdr:col>3</xdr:col>
      <xdr:colOff>1990295</xdr:colOff>
      <xdr:row>53</xdr:row>
      <xdr:rowOff>75907</xdr:rowOff>
    </xdr:to>
    <xdr:pic>
      <xdr:nvPicPr>
        <xdr:cNvPr id="22" name="그림 21"/>
        <xdr:cNvPicPr>
          <a:picLocks noChangeAspect="1"/>
        </xdr:cNvPicPr>
      </xdr:nvPicPr>
      <xdr:blipFill>
        <a:blip xmlns:r="http://schemas.openxmlformats.org/officeDocument/2006/relationships" r:embed="rId15"/>
        <a:stretch>
          <a:fillRect/>
        </a:stretch>
      </xdr:blipFill>
      <xdr:spPr>
        <a:xfrm>
          <a:off x="3648075" y="33251142"/>
          <a:ext cx="1761695" cy="1200490"/>
        </a:xfrm>
        <a:prstGeom prst="rect">
          <a:avLst/>
        </a:prstGeom>
      </xdr:spPr>
    </xdr:pic>
    <xdr:clientData/>
  </xdr:twoCellAnchor>
  <xdr:twoCellAnchor editAs="oneCell">
    <xdr:from>
      <xdr:col>3</xdr:col>
      <xdr:colOff>148166</xdr:colOff>
      <xdr:row>42</xdr:row>
      <xdr:rowOff>1899936</xdr:rowOff>
    </xdr:from>
    <xdr:to>
      <xdr:col>3</xdr:col>
      <xdr:colOff>2134296</xdr:colOff>
      <xdr:row>43</xdr:row>
      <xdr:rowOff>1820334</xdr:rowOff>
    </xdr:to>
    <xdr:pic>
      <xdr:nvPicPr>
        <xdr:cNvPr id="23" name="그림 22"/>
        <xdr:cNvPicPr>
          <a:picLocks noChangeAspect="1"/>
        </xdr:cNvPicPr>
      </xdr:nvPicPr>
      <xdr:blipFill>
        <a:blip xmlns:r="http://schemas.openxmlformats.org/officeDocument/2006/relationships" r:embed="rId16"/>
        <a:stretch>
          <a:fillRect/>
        </a:stretch>
      </xdr:blipFill>
      <xdr:spPr>
        <a:xfrm>
          <a:off x="3122083" y="31956603"/>
          <a:ext cx="1986130" cy="1846564"/>
        </a:xfrm>
        <a:prstGeom prst="rect">
          <a:avLst/>
        </a:prstGeom>
      </xdr:spPr>
    </xdr:pic>
    <xdr:clientData/>
  </xdr:twoCellAnchor>
  <xdr:twoCellAnchor editAs="oneCell">
    <xdr:from>
      <xdr:col>3</xdr:col>
      <xdr:colOff>423332</xdr:colOff>
      <xdr:row>41</xdr:row>
      <xdr:rowOff>18083</xdr:rowOff>
    </xdr:from>
    <xdr:to>
      <xdr:col>3</xdr:col>
      <xdr:colOff>2148416</xdr:colOff>
      <xdr:row>42</xdr:row>
      <xdr:rowOff>1813764</xdr:rowOff>
    </xdr:to>
    <xdr:pic>
      <xdr:nvPicPr>
        <xdr:cNvPr id="24" name="그림 23"/>
        <xdr:cNvPicPr>
          <a:picLocks noChangeAspect="1"/>
        </xdr:cNvPicPr>
      </xdr:nvPicPr>
      <xdr:blipFill>
        <a:blip xmlns:r="http://schemas.openxmlformats.org/officeDocument/2006/relationships" r:embed="rId17"/>
        <a:stretch>
          <a:fillRect/>
        </a:stretch>
      </xdr:blipFill>
      <xdr:spPr>
        <a:xfrm>
          <a:off x="3397249" y="29916000"/>
          <a:ext cx="1725084" cy="195443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17</xdr:col>
      <xdr:colOff>317500</xdr:colOff>
      <xdr:row>76</xdr:row>
      <xdr:rowOff>170910</xdr:rowOff>
    </xdr:from>
    <xdr:to>
      <xdr:col>19</xdr:col>
      <xdr:colOff>640781</xdr:colOff>
      <xdr:row>82</xdr:row>
      <xdr:rowOff>142467</xdr:rowOff>
    </xdr:to>
    <xdr:pic>
      <xdr:nvPicPr>
        <xdr:cNvPr id="2" name="그림 1"/>
        <xdr:cNvPicPr>
          <a:picLocks noChangeAspect="1"/>
        </xdr:cNvPicPr>
      </xdr:nvPicPr>
      <xdr:blipFill>
        <a:blip xmlns:r="http://schemas.openxmlformats.org/officeDocument/2006/relationships" r:embed="rId1"/>
        <a:stretch>
          <a:fillRect/>
        </a:stretch>
      </xdr:blipFill>
      <xdr:spPr>
        <a:xfrm>
          <a:off x="12014200" y="17608010"/>
          <a:ext cx="1720281" cy="1266957"/>
        </a:xfrm>
        <a:prstGeom prst="rect">
          <a:avLst/>
        </a:prstGeom>
      </xdr:spPr>
    </xdr:pic>
    <xdr:clientData/>
  </xdr:twoCellAnchor>
  <xdr:twoCellAnchor editAs="oneCell">
    <xdr:from>
      <xdr:col>18</xdr:col>
      <xdr:colOff>279745</xdr:colOff>
      <xdr:row>83</xdr:row>
      <xdr:rowOff>180974</xdr:rowOff>
    </xdr:from>
    <xdr:to>
      <xdr:col>19</xdr:col>
      <xdr:colOff>687297</xdr:colOff>
      <xdr:row>89</xdr:row>
      <xdr:rowOff>31749</xdr:rowOff>
    </xdr:to>
    <xdr:pic>
      <xdr:nvPicPr>
        <xdr:cNvPr id="3" name="그림 2"/>
        <xdr:cNvPicPr>
          <a:picLocks noChangeAspect="1"/>
        </xdr:cNvPicPr>
      </xdr:nvPicPr>
      <xdr:blipFill>
        <a:blip xmlns:r="http://schemas.openxmlformats.org/officeDocument/2006/relationships" r:embed="rId2"/>
        <a:stretch>
          <a:fillRect/>
        </a:stretch>
      </xdr:blipFill>
      <xdr:spPr>
        <a:xfrm>
          <a:off x="12674945" y="19129374"/>
          <a:ext cx="1106052" cy="1146175"/>
        </a:xfrm>
        <a:prstGeom prst="rect">
          <a:avLst/>
        </a:prstGeom>
      </xdr:spPr>
    </xdr:pic>
    <xdr:clientData/>
  </xdr:twoCellAnchor>
  <xdr:twoCellAnchor editAs="oneCell">
    <xdr:from>
      <xdr:col>14</xdr:col>
      <xdr:colOff>446006</xdr:colOff>
      <xdr:row>76</xdr:row>
      <xdr:rowOff>171450</xdr:rowOff>
    </xdr:from>
    <xdr:to>
      <xdr:col>16</xdr:col>
      <xdr:colOff>338231</xdr:colOff>
      <xdr:row>83</xdr:row>
      <xdr:rowOff>50800</xdr:rowOff>
    </xdr:to>
    <xdr:pic>
      <xdr:nvPicPr>
        <xdr:cNvPr id="4" name="그림 3"/>
        <xdr:cNvPicPr>
          <a:picLocks noChangeAspect="1"/>
        </xdr:cNvPicPr>
      </xdr:nvPicPr>
      <xdr:blipFill>
        <a:blip xmlns:r="http://schemas.openxmlformats.org/officeDocument/2006/relationships" r:embed="rId3"/>
        <a:stretch>
          <a:fillRect/>
        </a:stretch>
      </xdr:blipFill>
      <xdr:spPr>
        <a:xfrm>
          <a:off x="10161506" y="17608550"/>
          <a:ext cx="1174925" cy="1390650"/>
        </a:xfrm>
        <a:prstGeom prst="rect">
          <a:avLst/>
        </a:prstGeom>
      </xdr:spPr>
    </xdr:pic>
    <xdr:clientData/>
  </xdr:twoCellAnchor>
  <xdr:twoCellAnchor editAs="oneCell">
    <xdr:from>
      <xdr:col>14</xdr:col>
      <xdr:colOff>573786</xdr:colOff>
      <xdr:row>84</xdr:row>
      <xdr:rowOff>22224</xdr:rowOff>
    </xdr:from>
    <xdr:to>
      <xdr:col>16</xdr:col>
      <xdr:colOff>421905</xdr:colOff>
      <xdr:row>92</xdr:row>
      <xdr:rowOff>170849</xdr:rowOff>
    </xdr:to>
    <xdr:pic>
      <xdr:nvPicPr>
        <xdr:cNvPr id="5" name="그림 4"/>
        <xdr:cNvPicPr>
          <a:picLocks noChangeAspect="1"/>
        </xdr:cNvPicPr>
      </xdr:nvPicPr>
      <xdr:blipFill>
        <a:blip xmlns:r="http://schemas.openxmlformats.org/officeDocument/2006/relationships" r:embed="rId4"/>
        <a:stretch>
          <a:fillRect/>
        </a:stretch>
      </xdr:blipFill>
      <xdr:spPr>
        <a:xfrm>
          <a:off x="10289286" y="19186524"/>
          <a:ext cx="1130819" cy="1875825"/>
        </a:xfrm>
        <a:prstGeom prst="rect">
          <a:avLst/>
        </a:prstGeom>
      </xdr:spPr>
    </xdr:pic>
    <xdr:clientData/>
  </xdr:twoCellAnchor>
  <xdr:twoCellAnchor editAs="oneCell">
    <xdr:from>
      <xdr:col>11</xdr:col>
      <xdr:colOff>199336</xdr:colOff>
      <xdr:row>76</xdr:row>
      <xdr:rowOff>123825</xdr:rowOff>
    </xdr:from>
    <xdr:to>
      <xdr:col>13</xdr:col>
      <xdr:colOff>564867</xdr:colOff>
      <xdr:row>86</xdr:row>
      <xdr:rowOff>40940</xdr:rowOff>
    </xdr:to>
    <xdr:pic>
      <xdr:nvPicPr>
        <xdr:cNvPr id="6" name="그림 5"/>
        <xdr:cNvPicPr>
          <a:picLocks noChangeAspect="1"/>
        </xdr:cNvPicPr>
      </xdr:nvPicPr>
      <xdr:blipFill>
        <a:blip xmlns:r="http://schemas.openxmlformats.org/officeDocument/2006/relationships" r:embed="rId5"/>
        <a:stretch>
          <a:fillRect/>
        </a:stretch>
      </xdr:blipFill>
      <xdr:spPr>
        <a:xfrm>
          <a:off x="7895536" y="17560925"/>
          <a:ext cx="1711731" cy="2076115"/>
        </a:xfrm>
        <a:prstGeom prst="rect">
          <a:avLst/>
        </a:prstGeom>
      </xdr:spPr>
    </xdr:pic>
    <xdr:clientData/>
  </xdr:twoCellAnchor>
  <xdr:twoCellAnchor editAs="oneCell">
    <xdr:from>
      <xdr:col>12</xdr:col>
      <xdr:colOff>41276</xdr:colOff>
      <xdr:row>86</xdr:row>
      <xdr:rowOff>152401</xdr:rowOff>
    </xdr:from>
    <xdr:to>
      <xdr:col>13</xdr:col>
      <xdr:colOff>512581</xdr:colOff>
      <xdr:row>96</xdr:row>
      <xdr:rowOff>209551</xdr:rowOff>
    </xdr:to>
    <xdr:pic>
      <xdr:nvPicPr>
        <xdr:cNvPr id="7" name="그림 6"/>
        <xdr:cNvPicPr>
          <a:picLocks noChangeAspect="1"/>
        </xdr:cNvPicPr>
      </xdr:nvPicPr>
      <xdr:blipFill>
        <a:blip xmlns:r="http://schemas.openxmlformats.org/officeDocument/2006/relationships" r:embed="rId6"/>
        <a:stretch>
          <a:fillRect/>
        </a:stretch>
      </xdr:blipFill>
      <xdr:spPr>
        <a:xfrm>
          <a:off x="8410576" y="19748501"/>
          <a:ext cx="1144405" cy="2216150"/>
        </a:xfrm>
        <a:prstGeom prst="rect">
          <a:avLst/>
        </a:prstGeom>
      </xdr:spPr>
    </xdr:pic>
    <xdr:clientData/>
  </xdr:twoCellAnchor>
  <xdr:twoCellAnchor editAs="oneCell">
    <xdr:from>
      <xdr:col>2</xdr:col>
      <xdr:colOff>271607</xdr:colOff>
      <xdr:row>76</xdr:row>
      <xdr:rowOff>146049</xdr:rowOff>
    </xdr:from>
    <xdr:to>
      <xdr:col>4</xdr:col>
      <xdr:colOff>479139</xdr:colOff>
      <xdr:row>85</xdr:row>
      <xdr:rowOff>69522</xdr:rowOff>
    </xdr:to>
    <xdr:pic>
      <xdr:nvPicPr>
        <xdr:cNvPr id="8" name="그림 7"/>
        <xdr:cNvPicPr>
          <a:picLocks noChangeAspect="1"/>
        </xdr:cNvPicPr>
      </xdr:nvPicPr>
      <xdr:blipFill>
        <a:blip xmlns:r="http://schemas.openxmlformats.org/officeDocument/2006/relationships" r:embed="rId7"/>
        <a:stretch>
          <a:fillRect/>
        </a:stretch>
      </xdr:blipFill>
      <xdr:spPr>
        <a:xfrm>
          <a:off x="1782907" y="17583149"/>
          <a:ext cx="1579132" cy="1866573"/>
        </a:xfrm>
        <a:prstGeom prst="rect">
          <a:avLst/>
        </a:prstGeom>
      </xdr:spPr>
    </xdr:pic>
    <xdr:clientData/>
  </xdr:twoCellAnchor>
  <xdr:twoCellAnchor editAs="oneCell">
    <xdr:from>
      <xdr:col>3</xdr:col>
      <xdr:colOff>225914</xdr:colOff>
      <xdr:row>85</xdr:row>
      <xdr:rowOff>209549</xdr:rowOff>
    </xdr:from>
    <xdr:to>
      <xdr:col>4</xdr:col>
      <xdr:colOff>545917</xdr:colOff>
      <xdr:row>94</xdr:row>
      <xdr:rowOff>31438</xdr:rowOff>
    </xdr:to>
    <xdr:pic>
      <xdr:nvPicPr>
        <xdr:cNvPr id="9" name="그림 8"/>
        <xdr:cNvPicPr>
          <a:picLocks noChangeAspect="1"/>
        </xdr:cNvPicPr>
      </xdr:nvPicPr>
      <xdr:blipFill>
        <a:blip xmlns:r="http://schemas.openxmlformats.org/officeDocument/2006/relationships" r:embed="rId8"/>
        <a:stretch>
          <a:fillRect/>
        </a:stretch>
      </xdr:blipFill>
      <xdr:spPr>
        <a:xfrm>
          <a:off x="2410314" y="19589749"/>
          <a:ext cx="1018503" cy="1764989"/>
        </a:xfrm>
        <a:prstGeom prst="rect">
          <a:avLst/>
        </a:prstGeom>
      </xdr:spPr>
    </xdr:pic>
    <xdr:clientData/>
  </xdr:twoCellAnchor>
  <xdr:twoCellAnchor editAs="oneCell">
    <xdr:from>
      <xdr:col>5</xdr:col>
      <xdr:colOff>531501</xdr:colOff>
      <xdr:row>76</xdr:row>
      <xdr:rowOff>190500</xdr:rowOff>
    </xdr:from>
    <xdr:to>
      <xdr:col>7</xdr:col>
      <xdr:colOff>183900</xdr:colOff>
      <xdr:row>85</xdr:row>
      <xdr:rowOff>59905</xdr:rowOff>
    </xdr:to>
    <xdr:pic>
      <xdr:nvPicPr>
        <xdr:cNvPr id="10" name="그림 9"/>
        <xdr:cNvPicPr>
          <a:picLocks noChangeAspect="1"/>
        </xdr:cNvPicPr>
      </xdr:nvPicPr>
      <xdr:blipFill>
        <a:blip xmlns:r="http://schemas.openxmlformats.org/officeDocument/2006/relationships" r:embed="rId9"/>
        <a:stretch>
          <a:fillRect/>
        </a:stretch>
      </xdr:blipFill>
      <xdr:spPr>
        <a:xfrm>
          <a:off x="4112901" y="17627600"/>
          <a:ext cx="1049399" cy="1812505"/>
        </a:xfrm>
        <a:prstGeom prst="rect">
          <a:avLst/>
        </a:prstGeom>
      </xdr:spPr>
    </xdr:pic>
    <xdr:clientData/>
  </xdr:twoCellAnchor>
  <xdr:twoCellAnchor editAs="oneCell">
    <xdr:from>
      <xdr:col>8</xdr:col>
      <xdr:colOff>290903</xdr:colOff>
      <xdr:row>76</xdr:row>
      <xdr:rowOff>171449</xdr:rowOff>
    </xdr:from>
    <xdr:to>
      <xdr:col>10</xdr:col>
      <xdr:colOff>393700</xdr:colOff>
      <xdr:row>86</xdr:row>
      <xdr:rowOff>175135</xdr:rowOff>
    </xdr:to>
    <xdr:pic>
      <xdr:nvPicPr>
        <xdr:cNvPr id="11" name="그림 10"/>
        <xdr:cNvPicPr>
          <a:picLocks noChangeAspect="1"/>
        </xdr:cNvPicPr>
      </xdr:nvPicPr>
      <xdr:blipFill>
        <a:blip xmlns:r="http://schemas.openxmlformats.org/officeDocument/2006/relationships" r:embed="rId10"/>
        <a:stretch>
          <a:fillRect/>
        </a:stretch>
      </xdr:blipFill>
      <xdr:spPr>
        <a:xfrm>
          <a:off x="5967803" y="17608549"/>
          <a:ext cx="1448997" cy="2162686"/>
        </a:xfrm>
        <a:prstGeom prst="rect">
          <a:avLst/>
        </a:prstGeom>
      </xdr:spPr>
    </xdr:pic>
    <xdr:clientData/>
  </xdr:twoCellAnchor>
  <xdr:twoCellAnchor editAs="oneCell">
    <xdr:from>
      <xdr:col>5</xdr:col>
      <xdr:colOff>503918</xdr:colOff>
      <xdr:row>85</xdr:row>
      <xdr:rowOff>180975</xdr:rowOff>
    </xdr:from>
    <xdr:to>
      <xdr:col>7</xdr:col>
      <xdr:colOff>269702</xdr:colOff>
      <xdr:row>93</xdr:row>
      <xdr:rowOff>117233</xdr:rowOff>
    </xdr:to>
    <xdr:pic>
      <xdr:nvPicPr>
        <xdr:cNvPr id="12" name="그림 11"/>
        <xdr:cNvPicPr>
          <a:picLocks noChangeAspect="1"/>
        </xdr:cNvPicPr>
      </xdr:nvPicPr>
      <xdr:blipFill>
        <a:blip xmlns:r="http://schemas.openxmlformats.org/officeDocument/2006/relationships" r:embed="rId11"/>
        <a:stretch>
          <a:fillRect/>
        </a:stretch>
      </xdr:blipFill>
      <xdr:spPr>
        <a:xfrm>
          <a:off x="4085318" y="19561175"/>
          <a:ext cx="1162784" cy="1663458"/>
        </a:xfrm>
        <a:prstGeom prst="rect">
          <a:avLst/>
        </a:prstGeom>
      </xdr:spPr>
    </xdr:pic>
    <xdr:clientData/>
  </xdr:twoCellAnchor>
  <xdr:twoCellAnchor editAs="oneCell">
    <xdr:from>
      <xdr:col>9</xdr:col>
      <xdr:colOff>182790</xdr:colOff>
      <xdr:row>86</xdr:row>
      <xdr:rowOff>209550</xdr:rowOff>
    </xdr:from>
    <xdr:to>
      <xdr:col>10</xdr:col>
      <xdr:colOff>499663</xdr:colOff>
      <xdr:row>93</xdr:row>
      <xdr:rowOff>133108</xdr:rowOff>
    </xdr:to>
    <xdr:pic>
      <xdr:nvPicPr>
        <xdr:cNvPr id="13" name="그림 12"/>
        <xdr:cNvPicPr>
          <a:picLocks noChangeAspect="1"/>
        </xdr:cNvPicPr>
      </xdr:nvPicPr>
      <xdr:blipFill>
        <a:blip xmlns:r="http://schemas.openxmlformats.org/officeDocument/2006/relationships" r:embed="rId11"/>
        <a:stretch>
          <a:fillRect/>
        </a:stretch>
      </xdr:blipFill>
      <xdr:spPr>
        <a:xfrm>
          <a:off x="6532790" y="19805650"/>
          <a:ext cx="989973" cy="1434858"/>
        </a:xfrm>
        <a:prstGeom prst="rect">
          <a:avLst/>
        </a:prstGeom>
      </xdr:spPr>
    </xdr:pic>
    <xdr:clientData/>
  </xdr:twoCellAnchor>
  <xdr:twoCellAnchor editAs="oneCell">
    <xdr:from>
      <xdr:col>20</xdr:col>
      <xdr:colOff>232303</xdr:colOff>
      <xdr:row>77</xdr:row>
      <xdr:rowOff>161924</xdr:rowOff>
    </xdr:from>
    <xdr:to>
      <xdr:col>22</xdr:col>
      <xdr:colOff>498234</xdr:colOff>
      <xdr:row>84</xdr:row>
      <xdr:rowOff>171235</xdr:rowOff>
    </xdr:to>
    <xdr:pic>
      <xdr:nvPicPr>
        <xdr:cNvPr id="14" name="그림 13"/>
        <xdr:cNvPicPr>
          <a:picLocks noChangeAspect="1"/>
        </xdr:cNvPicPr>
      </xdr:nvPicPr>
      <xdr:blipFill>
        <a:blip xmlns:r="http://schemas.openxmlformats.org/officeDocument/2006/relationships" r:embed="rId12"/>
        <a:stretch>
          <a:fillRect/>
        </a:stretch>
      </xdr:blipFill>
      <xdr:spPr>
        <a:xfrm>
          <a:off x="14024503" y="17814924"/>
          <a:ext cx="1662931" cy="1520611"/>
        </a:xfrm>
        <a:prstGeom prst="rect">
          <a:avLst/>
        </a:prstGeom>
      </xdr:spPr>
    </xdr:pic>
    <xdr:clientData/>
  </xdr:twoCellAnchor>
  <xdr:twoCellAnchor editAs="oneCell">
    <xdr:from>
      <xdr:col>23</xdr:col>
      <xdr:colOff>460401</xdr:colOff>
      <xdr:row>77</xdr:row>
      <xdr:rowOff>142875</xdr:rowOff>
    </xdr:from>
    <xdr:to>
      <xdr:col>25</xdr:col>
      <xdr:colOff>488505</xdr:colOff>
      <xdr:row>84</xdr:row>
      <xdr:rowOff>69411</xdr:rowOff>
    </xdr:to>
    <xdr:pic>
      <xdr:nvPicPr>
        <xdr:cNvPr id="15" name="그림 14"/>
        <xdr:cNvPicPr>
          <a:picLocks noChangeAspect="1"/>
        </xdr:cNvPicPr>
      </xdr:nvPicPr>
      <xdr:blipFill>
        <a:blip xmlns:r="http://schemas.openxmlformats.org/officeDocument/2006/relationships" r:embed="rId13"/>
        <a:stretch>
          <a:fillRect/>
        </a:stretch>
      </xdr:blipFill>
      <xdr:spPr>
        <a:xfrm>
          <a:off x="16348101" y="17795875"/>
          <a:ext cx="1425104" cy="1437836"/>
        </a:xfrm>
        <a:prstGeom prst="rect">
          <a:avLst/>
        </a:prstGeom>
      </xdr:spPr>
    </xdr:pic>
    <xdr:clientData/>
  </xdr:twoCellAnchor>
  <xdr:twoCellAnchor editAs="oneCell">
    <xdr:from>
      <xdr:col>24</xdr:col>
      <xdr:colOff>342556</xdr:colOff>
      <xdr:row>85</xdr:row>
      <xdr:rowOff>31750</xdr:rowOff>
    </xdr:from>
    <xdr:to>
      <xdr:col>25</xdr:col>
      <xdr:colOff>545817</xdr:colOff>
      <xdr:row>90</xdr:row>
      <xdr:rowOff>161925</xdr:rowOff>
    </xdr:to>
    <xdr:pic>
      <xdr:nvPicPr>
        <xdr:cNvPr id="16" name="그림 15"/>
        <xdr:cNvPicPr>
          <a:picLocks noChangeAspect="1"/>
        </xdr:cNvPicPr>
      </xdr:nvPicPr>
      <xdr:blipFill>
        <a:blip xmlns:r="http://schemas.openxmlformats.org/officeDocument/2006/relationships" r:embed="rId14"/>
        <a:stretch>
          <a:fillRect/>
        </a:stretch>
      </xdr:blipFill>
      <xdr:spPr>
        <a:xfrm>
          <a:off x="16928756" y="19411950"/>
          <a:ext cx="901761" cy="1209675"/>
        </a:xfrm>
        <a:prstGeom prst="rect">
          <a:avLst/>
        </a:prstGeom>
      </xdr:spPr>
    </xdr:pic>
    <xdr:clientData/>
  </xdr:twoCellAnchor>
  <xdr:twoCellAnchor editAs="oneCell">
    <xdr:from>
      <xdr:col>26</xdr:col>
      <xdr:colOff>79724</xdr:colOff>
      <xdr:row>77</xdr:row>
      <xdr:rowOff>114300</xdr:rowOff>
    </xdr:from>
    <xdr:to>
      <xdr:col>27</xdr:col>
      <xdr:colOff>498475</xdr:colOff>
      <xdr:row>84</xdr:row>
      <xdr:rowOff>15258</xdr:rowOff>
    </xdr:to>
    <xdr:pic>
      <xdr:nvPicPr>
        <xdr:cNvPr id="17" name="그림 16"/>
        <xdr:cNvPicPr>
          <a:picLocks noChangeAspect="1"/>
        </xdr:cNvPicPr>
      </xdr:nvPicPr>
      <xdr:blipFill>
        <a:blip xmlns:r="http://schemas.openxmlformats.org/officeDocument/2006/relationships" r:embed="rId15"/>
        <a:stretch>
          <a:fillRect/>
        </a:stretch>
      </xdr:blipFill>
      <xdr:spPr>
        <a:xfrm>
          <a:off x="18062924" y="17767300"/>
          <a:ext cx="1117251" cy="1412258"/>
        </a:xfrm>
        <a:prstGeom prst="rect">
          <a:avLst/>
        </a:prstGeom>
      </xdr:spPr>
    </xdr:pic>
    <xdr:clientData/>
  </xdr:twoCellAnchor>
  <xdr:twoCellAnchor editAs="oneCell">
    <xdr:from>
      <xdr:col>26</xdr:col>
      <xdr:colOff>360083</xdr:colOff>
      <xdr:row>84</xdr:row>
      <xdr:rowOff>171450</xdr:rowOff>
    </xdr:from>
    <xdr:to>
      <xdr:col>27</xdr:col>
      <xdr:colOff>441142</xdr:colOff>
      <xdr:row>90</xdr:row>
      <xdr:rowOff>199721</xdr:rowOff>
    </xdr:to>
    <xdr:pic>
      <xdr:nvPicPr>
        <xdr:cNvPr id="18" name="그림 17"/>
        <xdr:cNvPicPr>
          <a:picLocks noChangeAspect="1"/>
        </xdr:cNvPicPr>
      </xdr:nvPicPr>
      <xdr:blipFill>
        <a:blip xmlns:r="http://schemas.openxmlformats.org/officeDocument/2006/relationships" r:embed="rId16"/>
        <a:stretch>
          <a:fillRect/>
        </a:stretch>
      </xdr:blipFill>
      <xdr:spPr>
        <a:xfrm>
          <a:off x="18343283" y="19335750"/>
          <a:ext cx="779559" cy="1323671"/>
        </a:xfrm>
        <a:prstGeom prst="rect">
          <a:avLst/>
        </a:prstGeom>
      </xdr:spPr>
    </xdr:pic>
    <xdr:clientData/>
  </xdr:twoCellAnchor>
  <xdr:twoCellAnchor editAs="oneCell">
    <xdr:from>
      <xdr:col>30</xdr:col>
      <xdr:colOff>256505</xdr:colOff>
      <xdr:row>76</xdr:row>
      <xdr:rowOff>142875</xdr:rowOff>
    </xdr:from>
    <xdr:to>
      <xdr:col>31</xdr:col>
      <xdr:colOff>317185</xdr:colOff>
      <xdr:row>81</xdr:row>
      <xdr:rowOff>209087</xdr:rowOff>
    </xdr:to>
    <xdr:pic>
      <xdr:nvPicPr>
        <xdr:cNvPr id="20" name="그림 19"/>
        <xdr:cNvPicPr>
          <a:picLocks noChangeAspect="1"/>
        </xdr:cNvPicPr>
      </xdr:nvPicPr>
      <xdr:blipFill>
        <a:blip xmlns:r="http://schemas.openxmlformats.org/officeDocument/2006/relationships" r:embed="rId17"/>
        <a:stretch>
          <a:fillRect/>
        </a:stretch>
      </xdr:blipFill>
      <xdr:spPr>
        <a:xfrm>
          <a:off x="21033705" y="17579975"/>
          <a:ext cx="759180" cy="1145712"/>
        </a:xfrm>
        <a:prstGeom prst="rect">
          <a:avLst/>
        </a:prstGeom>
      </xdr:spPr>
    </xdr:pic>
    <xdr:clientData/>
  </xdr:twoCellAnchor>
  <xdr:twoCellAnchor editAs="oneCell">
    <xdr:from>
      <xdr:col>30</xdr:col>
      <xdr:colOff>233862</xdr:colOff>
      <xdr:row>82</xdr:row>
      <xdr:rowOff>123825</xdr:rowOff>
    </xdr:from>
    <xdr:to>
      <xdr:col>31</xdr:col>
      <xdr:colOff>250451</xdr:colOff>
      <xdr:row>86</xdr:row>
      <xdr:rowOff>209067</xdr:rowOff>
    </xdr:to>
    <xdr:pic>
      <xdr:nvPicPr>
        <xdr:cNvPr id="21" name="그림 20"/>
        <xdr:cNvPicPr>
          <a:picLocks noChangeAspect="1"/>
        </xdr:cNvPicPr>
      </xdr:nvPicPr>
      <xdr:blipFill>
        <a:blip xmlns:r="http://schemas.openxmlformats.org/officeDocument/2006/relationships" r:embed="rId18"/>
        <a:stretch>
          <a:fillRect/>
        </a:stretch>
      </xdr:blipFill>
      <xdr:spPr>
        <a:xfrm>
          <a:off x="21011062" y="18856325"/>
          <a:ext cx="715089" cy="948842"/>
        </a:xfrm>
        <a:prstGeom prst="rect">
          <a:avLst/>
        </a:prstGeom>
      </xdr:spPr>
    </xdr:pic>
    <xdr:clientData/>
  </xdr:twoCellAnchor>
  <xdr:twoCellAnchor editAs="oneCell">
    <xdr:from>
      <xdr:col>32</xdr:col>
      <xdr:colOff>0</xdr:colOff>
      <xdr:row>77</xdr:row>
      <xdr:rowOff>0</xdr:rowOff>
    </xdr:from>
    <xdr:to>
      <xdr:col>33</xdr:col>
      <xdr:colOff>352295</xdr:colOff>
      <xdr:row>83</xdr:row>
      <xdr:rowOff>18886</xdr:rowOff>
    </xdr:to>
    <xdr:pic>
      <xdr:nvPicPr>
        <xdr:cNvPr id="19" name="그림 18"/>
        <xdr:cNvPicPr>
          <a:picLocks noChangeAspect="1"/>
        </xdr:cNvPicPr>
      </xdr:nvPicPr>
      <xdr:blipFill>
        <a:blip xmlns:r="http://schemas.openxmlformats.org/officeDocument/2006/relationships" r:embed="rId19"/>
        <a:stretch>
          <a:fillRect/>
        </a:stretch>
      </xdr:blipFill>
      <xdr:spPr>
        <a:xfrm>
          <a:off x="22174200" y="17653000"/>
          <a:ext cx="1038095" cy="1314286"/>
        </a:xfrm>
        <a:prstGeom prst="rect">
          <a:avLst/>
        </a:prstGeom>
      </xdr:spPr>
    </xdr:pic>
    <xdr:clientData/>
  </xdr:twoCellAnchor>
  <xdr:twoCellAnchor editAs="oneCell">
    <xdr:from>
      <xdr:col>32</xdr:col>
      <xdr:colOff>127000</xdr:colOff>
      <xdr:row>83</xdr:row>
      <xdr:rowOff>177800</xdr:rowOff>
    </xdr:from>
    <xdr:to>
      <xdr:col>33</xdr:col>
      <xdr:colOff>307867</xdr:colOff>
      <xdr:row>92</xdr:row>
      <xdr:rowOff>15651</xdr:rowOff>
    </xdr:to>
    <xdr:pic>
      <xdr:nvPicPr>
        <xdr:cNvPr id="22" name="그림 21"/>
        <xdr:cNvPicPr>
          <a:picLocks noChangeAspect="1"/>
        </xdr:cNvPicPr>
      </xdr:nvPicPr>
      <xdr:blipFill>
        <a:blip xmlns:r="http://schemas.openxmlformats.org/officeDocument/2006/relationships" r:embed="rId20"/>
        <a:stretch>
          <a:fillRect/>
        </a:stretch>
      </xdr:blipFill>
      <xdr:spPr>
        <a:xfrm>
          <a:off x="22301200" y="19126200"/>
          <a:ext cx="866667" cy="1780951"/>
        </a:xfrm>
        <a:prstGeom prst="rect">
          <a:avLst/>
        </a:prstGeom>
      </xdr:spPr>
    </xdr:pic>
    <xdr:clientData/>
  </xdr:twoCellAnchor>
  <xdr:twoCellAnchor editAs="oneCell">
    <xdr:from>
      <xdr:col>34</xdr:col>
      <xdr:colOff>0</xdr:colOff>
      <xdr:row>77</xdr:row>
      <xdr:rowOff>0</xdr:rowOff>
    </xdr:from>
    <xdr:to>
      <xdr:col>35</xdr:col>
      <xdr:colOff>409438</xdr:colOff>
      <xdr:row>83</xdr:row>
      <xdr:rowOff>142695</xdr:rowOff>
    </xdr:to>
    <xdr:pic>
      <xdr:nvPicPr>
        <xdr:cNvPr id="23" name="그림 22"/>
        <xdr:cNvPicPr>
          <a:picLocks noChangeAspect="1"/>
        </xdr:cNvPicPr>
      </xdr:nvPicPr>
      <xdr:blipFill>
        <a:blip xmlns:r="http://schemas.openxmlformats.org/officeDocument/2006/relationships" r:embed="rId21"/>
        <a:stretch>
          <a:fillRect/>
        </a:stretch>
      </xdr:blipFill>
      <xdr:spPr>
        <a:xfrm>
          <a:off x="23545800" y="17653000"/>
          <a:ext cx="1095238" cy="1438095"/>
        </a:xfrm>
        <a:prstGeom prst="rect">
          <a:avLst/>
        </a:prstGeom>
      </xdr:spPr>
    </xdr:pic>
    <xdr:clientData/>
  </xdr:twoCellAnchor>
  <xdr:twoCellAnchor editAs="oneCell">
    <xdr:from>
      <xdr:col>33</xdr:col>
      <xdr:colOff>673100</xdr:colOff>
      <xdr:row>84</xdr:row>
      <xdr:rowOff>0</xdr:rowOff>
    </xdr:from>
    <xdr:to>
      <xdr:col>35</xdr:col>
      <xdr:colOff>358643</xdr:colOff>
      <xdr:row>90</xdr:row>
      <xdr:rowOff>161743</xdr:rowOff>
    </xdr:to>
    <xdr:pic>
      <xdr:nvPicPr>
        <xdr:cNvPr id="24" name="그림 23"/>
        <xdr:cNvPicPr>
          <a:picLocks noChangeAspect="1"/>
        </xdr:cNvPicPr>
      </xdr:nvPicPr>
      <xdr:blipFill>
        <a:blip xmlns:r="http://schemas.openxmlformats.org/officeDocument/2006/relationships" r:embed="rId22"/>
        <a:stretch>
          <a:fillRect/>
        </a:stretch>
      </xdr:blipFill>
      <xdr:spPr>
        <a:xfrm>
          <a:off x="23533100" y="19164300"/>
          <a:ext cx="1057143" cy="1457143"/>
        </a:xfrm>
        <a:prstGeom prst="rect">
          <a:avLst/>
        </a:prstGeom>
      </xdr:spPr>
    </xdr:pic>
    <xdr:clientData/>
  </xdr:twoCellAnchor>
  <xdr:twoCellAnchor editAs="oneCell">
    <xdr:from>
      <xdr:col>36</xdr:col>
      <xdr:colOff>103344</xdr:colOff>
      <xdr:row>76</xdr:row>
      <xdr:rowOff>215899</xdr:rowOff>
    </xdr:from>
    <xdr:to>
      <xdr:col>38</xdr:col>
      <xdr:colOff>241299</xdr:colOff>
      <xdr:row>84</xdr:row>
      <xdr:rowOff>171692</xdr:rowOff>
    </xdr:to>
    <xdr:pic>
      <xdr:nvPicPr>
        <xdr:cNvPr id="25" name="그림 24"/>
        <xdr:cNvPicPr>
          <a:picLocks noChangeAspect="1"/>
        </xdr:cNvPicPr>
      </xdr:nvPicPr>
      <xdr:blipFill>
        <a:blip xmlns:r="http://schemas.openxmlformats.org/officeDocument/2006/relationships" r:embed="rId23"/>
        <a:stretch>
          <a:fillRect/>
        </a:stretch>
      </xdr:blipFill>
      <xdr:spPr>
        <a:xfrm>
          <a:off x="25020744" y="17652999"/>
          <a:ext cx="1509555" cy="1682993"/>
        </a:xfrm>
        <a:prstGeom prst="rect">
          <a:avLst/>
        </a:prstGeom>
      </xdr:spPr>
    </xdr:pic>
    <xdr:clientData/>
  </xdr:twoCellAnchor>
  <xdr:twoCellAnchor editAs="oneCell">
    <xdr:from>
      <xdr:col>37</xdr:col>
      <xdr:colOff>45288</xdr:colOff>
      <xdr:row>85</xdr:row>
      <xdr:rowOff>139700</xdr:rowOff>
    </xdr:from>
    <xdr:to>
      <xdr:col>38</xdr:col>
      <xdr:colOff>282423</xdr:colOff>
      <xdr:row>93</xdr:row>
      <xdr:rowOff>171162</xdr:rowOff>
    </xdr:to>
    <xdr:pic>
      <xdr:nvPicPr>
        <xdr:cNvPr id="26" name="그림 25"/>
        <xdr:cNvPicPr>
          <a:picLocks noChangeAspect="1"/>
        </xdr:cNvPicPr>
      </xdr:nvPicPr>
      <xdr:blipFill>
        <a:blip xmlns:r="http://schemas.openxmlformats.org/officeDocument/2006/relationships" r:embed="rId24"/>
        <a:stretch>
          <a:fillRect/>
        </a:stretch>
      </xdr:blipFill>
      <xdr:spPr>
        <a:xfrm>
          <a:off x="25648488" y="19519900"/>
          <a:ext cx="922935" cy="1758662"/>
        </a:xfrm>
        <a:prstGeom prst="rect">
          <a:avLst/>
        </a:prstGeom>
      </xdr:spPr>
    </xdr:pic>
    <xdr:clientData/>
  </xdr:twoCellAnchor>
  <xdr:twoCellAnchor editAs="oneCell">
    <xdr:from>
      <xdr:col>38</xdr:col>
      <xdr:colOff>621778</xdr:colOff>
      <xdr:row>77</xdr:row>
      <xdr:rowOff>50800</xdr:rowOff>
    </xdr:from>
    <xdr:to>
      <xdr:col>40</xdr:col>
      <xdr:colOff>279229</xdr:colOff>
      <xdr:row>84</xdr:row>
      <xdr:rowOff>104514</xdr:rowOff>
    </xdr:to>
    <xdr:pic>
      <xdr:nvPicPr>
        <xdr:cNvPr id="27" name="그림 26"/>
        <xdr:cNvPicPr>
          <a:picLocks noChangeAspect="1"/>
        </xdr:cNvPicPr>
      </xdr:nvPicPr>
      <xdr:blipFill>
        <a:blip xmlns:r="http://schemas.openxmlformats.org/officeDocument/2006/relationships" r:embed="rId25"/>
        <a:stretch>
          <a:fillRect/>
        </a:stretch>
      </xdr:blipFill>
      <xdr:spPr>
        <a:xfrm>
          <a:off x="26910778" y="17703800"/>
          <a:ext cx="1029051" cy="1565014"/>
        </a:xfrm>
        <a:prstGeom prst="rect">
          <a:avLst/>
        </a:prstGeom>
      </xdr:spPr>
    </xdr:pic>
    <xdr:clientData/>
  </xdr:twoCellAnchor>
  <xdr:twoCellAnchor editAs="oneCell">
    <xdr:from>
      <xdr:col>39</xdr:col>
      <xdr:colOff>25401</xdr:colOff>
      <xdr:row>85</xdr:row>
      <xdr:rowOff>0</xdr:rowOff>
    </xdr:from>
    <xdr:to>
      <xdr:col>40</xdr:col>
      <xdr:colOff>342901</xdr:colOff>
      <xdr:row>93</xdr:row>
      <xdr:rowOff>24717</xdr:rowOff>
    </xdr:to>
    <xdr:pic>
      <xdr:nvPicPr>
        <xdr:cNvPr id="28" name="그림 27"/>
        <xdr:cNvPicPr>
          <a:picLocks noChangeAspect="1"/>
        </xdr:cNvPicPr>
      </xdr:nvPicPr>
      <xdr:blipFill>
        <a:blip xmlns:r="http://schemas.openxmlformats.org/officeDocument/2006/relationships" r:embed="rId26"/>
        <a:stretch>
          <a:fillRect/>
        </a:stretch>
      </xdr:blipFill>
      <xdr:spPr>
        <a:xfrm>
          <a:off x="27000201" y="19380200"/>
          <a:ext cx="1003300" cy="1751917"/>
        </a:xfrm>
        <a:prstGeom prst="rect">
          <a:avLst/>
        </a:prstGeom>
      </xdr:spPr>
    </xdr:pic>
    <xdr:clientData/>
  </xdr:twoCellAnchor>
  <xdr:twoCellAnchor editAs="oneCell">
    <xdr:from>
      <xdr:col>27</xdr:col>
      <xdr:colOff>406400</xdr:colOff>
      <xdr:row>74</xdr:row>
      <xdr:rowOff>76200</xdr:rowOff>
    </xdr:from>
    <xdr:to>
      <xdr:col>29</xdr:col>
      <xdr:colOff>627436</xdr:colOff>
      <xdr:row>81</xdr:row>
      <xdr:rowOff>47157</xdr:rowOff>
    </xdr:to>
    <xdr:pic>
      <xdr:nvPicPr>
        <xdr:cNvPr id="30" name="그림 29"/>
        <xdr:cNvPicPr>
          <a:picLocks noChangeAspect="1"/>
        </xdr:cNvPicPr>
      </xdr:nvPicPr>
      <xdr:blipFill>
        <a:blip xmlns:r="http://schemas.openxmlformats.org/officeDocument/2006/relationships" r:embed="rId27"/>
        <a:stretch>
          <a:fillRect/>
        </a:stretch>
      </xdr:blipFill>
      <xdr:spPr>
        <a:xfrm>
          <a:off x="19088100" y="17081500"/>
          <a:ext cx="1618036" cy="1482257"/>
        </a:xfrm>
        <a:prstGeom prst="rect">
          <a:avLst/>
        </a:prstGeom>
      </xdr:spPr>
    </xdr:pic>
    <xdr:clientData/>
  </xdr:twoCellAnchor>
  <xdr:twoCellAnchor editAs="oneCell">
    <xdr:from>
      <xdr:col>28</xdr:col>
      <xdr:colOff>469900</xdr:colOff>
      <xdr:row>82</xdr:row>
      <xdr:rowOff>63500</xdr:rowOff>
    </xdr:from>
    <xdr:to>
      <xdr:col>29</xdr:col>
      <xdr:colOff>675967</xdr:colOff>
      <xdr:row>93</xdr:row>
      <xdr:rowOff>81848</xdr:rowOff>
    </xdr:to>
    <xdr:pic>
      <xdr:nvPicPr>
        <xdr:cNvPr id="31" name="그림 30"/>
        <xdr:cNvPicPr>
          <a:picLocks noChangeAspect="1"/>
        </xdr:cNvPicPr>
      </xdr:nvPicPr>
      <xdr:blipFill>
        <a:blip xmlns:r="http://schemas.openxmlformats.org/officeDocument/2006/relationships" r:embed="rId28"/>
        <a:stretch>
          <a:fillRect/>
        </a:stretch>
      </xdr:blipFill>
      <xdr:spPr>
        <a:xfrm>
          <a:off x="19850100" y="18796000"/>
          <a:ext cx="904567" cy="2393248"/>
        </a:xfrm>
        <a:prstGeom prst="rect">
          <a:avLst/>
        </a:prstGeom>
      </xdr:spPr>
    </xdr:pic>
    <xdr:clientData/>
  </xdr:twoCellAnchor>
  <xdr:twoCellAnchor editAs="oneCell">
    <xdr:from>
      <xdr:col>28</xdr:col>
      <xdr:colOff>161721</xdr:colOff>
      <xdr:row>93</xdr:row>
      <xdr:rowOff>101600</xdr:rowOff>
    </xdr:from>
    <xdr:to>
      <xdr:col>30</xdr:col>
      <xdr:colOff>155997</xdr:colOff>
      <xdr:row>102</xdr:row>
      <xdr:rowOff>15500</xdr:rowOff>
    </xdr:to>
    <xdr:pic>
      <xdr:nvPicPr>
        <xdr:cNvPr id="32" name="그림 31"/>
        <xdr:cNvPicPr>
          <a:picLocks noChangeAspect="1"/>
        </xdr:cNvPicPr>
      </xdr:nvPicPr>
      <xdr:blipFill>
        <a:blip xmlns:r="http://schemas.openxmlformats.org/officeDocument/2006/relationships" r:embed="rId29"/>
        <a:stretch>
          <a:fillRect/>
        </a:stretch>
      </xdr:blipFill>
      <xdr:spPr>
        <a:xfrm>
          <a:off x="19541921" y="21209000"/>
          <a:ext cx="1391276" cy="1857000"/>
        </a:xfrm>
        <a:prstGeom prst="rect">
          <a:avLst/>
        </a:prstGeom>
      </xdr:spPr>
    </xdr:pic>
    <xdr:clientData/>
  </xdr:twoCellAnchor>
  <xdr:twoCellAnchor editAs="oneCell">
    <xdr:from>
      <xdr:col>42</xdr:col>
      <xdr:colOff>62197</xdr:colOff>
      <xdr:row>77</xdr:row>
      <xdr:rowOff>50800</xdr:rowOff>
    </xdr:from>
    <xdr:to>
      <xdr:col>43</xdr:col>
      <xdr:colOff>31571</xdr:colOff>
      <xdr:row>86</xdr:row>
      <xdr:rowOff>151843</xdr:rowOff>
    </xdr:to>
    <xdr:pic>
      <xdr:nvPicPr>
        <xdr:cNvPr id="33" name="그림 32"/>
        <xdr:cNvPicPr>
          <a:picLocks noChangeAspect="1"/>
        </xdr:cNvPicPr>
      </xdr:nvPicPr>
      <xdr:blipFill>
        <a:blip xmlns:r="http://schemas.openxmlformats.org/officeDocument/2006/relationships" r:embed="rId30"/>
        <a:stretch>
          <a:fillRect/>
        </a:stretch>
      </xdr:blipFill>
      <xdr:spPr>
        <a:xfrm>
          <a:off x="29094397" y="17703800"/>
          <a:ext cx="655174" cy="2044143"/>
        </a:xfrm>
        <a:prstGeom prst="rect">
          <a:avLst/>
        </a:prstGeom>
      </xdr:spPr>
    </xdr:pic>
    <xdr:clientData/>
  </xdr:twoCellAnchor>
  <xdr:twoCellAnchor editAs="oneCell">
    <xdr:from>
      <xdr:col>40</xdr:col>
      <xdr:colOff>255896</xdr:colOff>
      <xdr:row>77</xdr:row>
      <xdr:rowOff>127000</xdr:rowOff>
    </xdr:from>
    <xdr:to>
      <xdr:col>41</xdr:col>
      <xdr:colOff>602967</xdr:colOff>
      <xdr:row>92</xdr:row>
      <xdr:rowOff>173724</xdr:rowOff>
    </xdr:to>
    <xdr:pic>
      <xdr:nvPicPr>
        <xdr:cNvPr id="34" name="그림 33"/>
        <xdr:cNvPicPr>
          <a:picLocks noChangeAspect="1"/>
        </xdr:cNvPicPr>
      </xdr:nvPicPr>
      <xdr:blipFill>
        <a:blip xmlns:r="http://schemas.openxmlformats.org/officeDocument/2006/relationships" r:embed="rId31"/>
        <a:stretch>
          <a:fillRect/>
        </a:stretch>
      </xdr:blipFill>
      <xdr:spPr>
        <a:xfrm>
          <a:off x="27916496" y="17780000"/>
          <a:ext cx="1032871" cy="328522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552450</xdr:colOff>
      <xdr:row>25</xdr:row>
      <xdr:rowOff>114300</xdr:rowOff>
    </xdr:from>
    <xdr:to>
      <xdr:col>18</xdr:col>
      <xdr:colOff>389524</xdr:colOff>
      <xdr:row>35</xdr:row>
      <xdr:rowOff>114110</xdr:rowOff>
    </xdr:to>
    <xdr:pic>
      <xdr:nvPicPr>
        <xdr:cNvPr id="2" name="그림 1"/>
        <xdr:cNvPicPr>
          <a:picLocks noChangeAspect="1"/>
        </xdr:cNvPicPr>
      </xdr:nvPicPr>
      <xdr:blipFill>
        <a:blip xmlns:r="http://schemas.openxmlformats.org/officeDocument/2006/relationships" r:embed="rId1"/>
        <a:stretch>
          <a:fillRect/>
        </a:stretch>
      </xdr:blipFill>
      <xdr:spPr>
        <a:xfrm>
          <a:off x="1419225" y="3086100"/>
          <a:ext cx="8009524" cy="1523810"/>
        </a:xfrm>
        <a:prstGeom prst="rect">
          <a:avLst/>
        </a:prstGeom>
      </xdr:spPr>
    </xdr:pic>
    <xdr:clientData/>
  </xdr:twoCellAnchor>
  <xdr:twoCellAnchor editAs="oneCell">
    <xdr:from>
      <xdr:col>2</xdr:col>
      <xdr:colOff>552450</xdr:colOff>
      <xdr:row>37</xdr:row>
      <xdr:rowOff>28575</xdr:rowOff>
    </xdr:from>
    <xdr:to>
      <xdr:col>18</xdr:col>
      <xdr:colOff>380000</xdr:colOff>
      <xdr:row>46</xdr:row>
      <xdr:rowOff>142689</xdr:rowOff>
    </xdr:to>
    <xdr:pic>
      <xdr:nvPicPr>
        <xdr:cNvPr id="3" name="그림 2"/>
        <xdr:cNvPicPr>
          <a:picLocks noChangeAspect="1"/>
        </xdr:cNvPicPr>
      </xdr:nvPicPr>
      <xdr:blipFill>
        <a:blip xmlns:r="http://schemas.openxmlformats.org/officeDocument/2006/relationships" r:embed="rId2"/>
        <a:stretch>
          <a:fillRect/>
        </a:stretch>
      </xdr:blipFill>
      <xdr:spPr>
        <a:xfrm>
          <a:off x="1419225" y="4829175"/>
          <a:ext cx="8000000" cy="1485714"/>
        </a:xfrm>
        <a:prstGeom prst="rect">
          <a:avLst/>
        </a:prstGeom>
      </xdr:spPr>
    </xdr:pic>
    <xdr:clientData/>
  </xdr:twoCellAnchor>
  <xdr:twoCellAnchor editAs="oneCell">
    <xdr:from>
      <xdr:col>2</xdr:col>
      <xdr:colOff>514350</xdr:colOff>
      <xdr:row>47</xdr:row>
      <xdr:rowOff>142875</xdr:rowOff>
    </xdr:from>
    <xdr:to>
      <xdr:col>18</xdr:col>
      <xdr:colOff>294281</xdr:colOff>
      <xdr:row>57</xdr:row>
      <xdr:rowOff>123637</xdr:rowOff>
    </xdr:to>
    <xdr:pic>
      <xdr:nvPicPr>
        <xdr:cNvPr id="4" name="그림 3"/>
        <xdr:cNvPicPr>
          <a:picLocks noChangeAspect="1"/>
        </xdr:cNvPicPr>
      </xdr:nvPicPr>
      <xdr:blipFill>
        <a:blip xmlns:r="http://schemas.openxmlformats.org/officeDocument/2006/relationships" r:embed="rId3"/>
        <a:stretch>
          <a:fillRect/>
        </a:stretch>
      </xdr:blipFill>
      <xdr:spPr>
        <a:xfrm>
          <a:off x="1381125" y="6467475"/>
          <a:ext cx="7952381" cy="1504762"/>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15</xdr:col>
      <xdr:colOff>178872</xdr:colOff>
      <xdr:row>84</xdr:row>
      <xdr:rowOff>180975</xdr:rowOff>
    </xdr:from>
    <xdr:to>
      <xdr:col>22</xdr:col>
      <xdr:colOff>133350</xdr:colOff>
      <xdr:row>99</xdr:row>
      <xdr:rowOff>28575</xdr:rowOff>
    </xdr:to>
    <xdr:pic>
      <xdr:nvPicPr>
        <xdr:cNvPr id="2" name="그림 1" descr="tn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369997" y="12696825"/>
          <a:ext cx="2888178" cy="2286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5</xdr:col>
      <xdr:colOff>228600</xdr:colOff>
      <xdr:row>87</xdr:row>
      <xdr:rowOff>9525</xdr:rowOff>
    </xdr:from>
    <xdr:to>
      <xdr:col>5</xdr:col>
      <xdr:colOff>352425</xdr:colOff>
      <xdr:row>92</xdr:row>
      <xdr:rowOff>0</xdr:rowOff>
    </xdr:to>
    <xdr:sp macro="" textlink="">
      <xdr:nvSpPr>
        <xdr:cNvPr id="3" name="직사각형 2"/>
        <xdr:cNvSpPr/>
      </xdr:nvSpPr>
      <xdr:spPr>
        <a:xfrm>
          <a:off x="1219200" y="13039725"/>
          <a:ext cx="123825" cy="809625"/>
        </a:xfrm>
        <a:prstGeom prst="rect">
          <a:avLst/>
        </a:prstGeom>
        <a:no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5</xdr:col>
      <xdr:colOff>285750</xdr:colOff>
      <xdr:row>95</xdr:row>
      <xdr:rowOff>0</xdr:rowOff>
    </xdr:from>
    <xdr:to>
      <xdr:col>5</xdr:col>
      <xdr:colOff>409575</xdr:colOff>
      <xdr:row>99</xdr:row>
      <xdr:rowOff>161925</xdr:rowOff>
    </xdr:to>
    <xdr:sp macro="" textlink="">
      <xdr:nvSpPr>
        <xdr:cNvPr id="4" name="직사각형 3"/>
        <xdr:cNvSpPr/>
      </xdr:nvSpPr>
      <xdr:spPr>
        <a:xfrm>
          <a:off x="1276350" y="14306550"/>
          <a:ext cx="123825" cy="809625"/>
        </a:xfrm>
        <a:prstGeom prst="rect">
          <a:avLst/>
        </a:prstGeom>
        <a:no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228600</xdr:colOff>
      <xdr:row>2</xdr:row>
      <xdr:rowOff>9525</xdr:rowOff>
    </xdr:from>
    <xdr:to>
      <xdr:col>1</xdr:col>
      <xdr:colOff>352425</xdr:colOff>
      <xdr:row>5</xdr:row>
      <xdr:rowOff>0</xdr:rowOff>
    </xdr:to>
    <xdr:sp macro="" textlink="">
      <xdr:nvSpPr>
        <xdr:cNvPr id="2" name="직사각형 1"/>
        <xdr:cNvSpPr/>
      </xdr:nvSpPr>
      <xdr:spPr>
        <a:xfrm>
          <a:off x="1219200" y="13039725"/>
          <a:ext cx="123825" cy="809625"/>
        </a:xfrm>
        <a:prstGeom prst="rect">
          <a:avLst/>
        </a:prstGeom>
        <a:no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3</xdr:col>
      <xdr:colOff>285750</xdr:colOff>
      <xdr:row>1</xdr:row>
      <xdr:rowOff>200025</xdr:rowOff>
    </xdr:from>
    <xdr:to>
      <xdr:col>3</xdr:col>
      <xdr:colOff>428625</xdr:colOff>
      <xdr:row>4</xdr:row>
      <xdr:rowOff>190500</xdr:rowOff>
    </xdr:to>
    <xdr:sp macro="" textlink="">
      <xdr:nvSpPr>
        <xdr:cNvPr id="3" name="직사각형 2"/>
        <xdr:cNvSpPr/>
      </xdr:nvSpPr>
      <xdr:spPr>
        <a:xfrm>
          <a:off x="2447925" y="200025"/>
          <a:ext cx="142875" cy="619125"/>
        </a:xfrm>
        <a:prstGeom prst="rect">
          <a:avLst/>
        </a:prstGeom>
        <a:no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5</xdr:col>
      <xdr:colOff>228600</xdr:colOff>
      <xdr:row>2</xdr:row>
      <xdr:rowOff>9525</xdr:rowOff>
    </xdr:from>
    <xdr:to>
      <xdr:col>5</xdr:col>
      <xdr:colOff>352425</xdr:colOff>
      <xdr:row>5</xdr:row>
      <xdr:rowOff>0</xdr:rowOff>
    </xdr:to>
    <xdr:sp macro="" textlink="">
      <xdr:nvSpPr>
        <xdr:cNvPr id="4" name="직사각형 3"/>
        <xdr:cNvSpPr/>
      </xdr:nvSpPr>
      <xdr:spPr>
        <a:xfrm>
          <a:off x="428625" y="219075"/>
          <a:ext cx="123825" cy="619125"/>
        </a:xfrm>
        <a:prstGeom prst="rect">
          <a:avLst/>
        </a:prstGeom>
        <a:no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7</xdr:col>
      <xdr:colOff>466725</xdr:colOff>
      <xdr:row>2</xdr:row>
      <xdr:rowOff>28575</xdr:rowOff>
    </xdr:from>
    <xdr:to>
      <xdr:col>11</xdr:col>
      <xdr:colOff>611703</xdr:colOff>
      <xdr:row>13</xdr:row>
      <xdr:rowOff>9525</xdr:rowOff>
    </xdr:to>
    <xdr:pic>
      <xdr:nvPicPr>
        <xdr:cNvPr id="5" name="그림 4" descr="tn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362575" y="238125"/>
          <a:ext cx="2888178" cy="2286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3</xdr:col>
      <xdr:colOff>2133599</xdr:colOff>
      <xdr:row>0</xdr:row>
      <xdr:rowOff>9525</xdr:rowOff>
    </xdr:from>
    <xdr:to>
      <xdr:col>7</xdr:col>
      <xdr:colOff>9524</xdr:colOff>
      <xdr:row>29</xdr:row>
      <xdr:rowOff>180975</xdr:rowOff>
    </xdr:to>
    <xdr:sp macro="" textlink="">
      <xdr:nvSpPr>
        <xdr:cNvPr id="2" name="직사각형 1"/>
        <xdr:cNvSpPr/>
      </xdr:nvSpPr>
      <xdr:spPr>
        <a:xfrm>
          <a:off x="3686174" y="9525"/>
          <a:ext cx="1381125" cy="5410200"/>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9</xdr:col>
      <xdr:colOff>409574</xdr:colOff>
      <xdr:row>0</xdr:row>
      <xdr:rowOff>9525</xdr:rowOff>
    </xdr:from>
    <xdr:to>
      <xdr:col>12</xdr:col>
      <xdr:colOff>447674</xdr:colOff>
      <xdr:row>29</xdr:row>
      <xdr:rowOff>180975</xdr:rowOff>
    </xdr:to>
    <xdr:sp macro="" textlink="">
      <xdr:nvSpPr>
        <xdr:cNvPr id="3" name="직사각형 2"/>
        <xdr:cNvSpPr/>
      </xdr:nvSpPr>
      <xdr:spPr>
        <a:xfrm>
          <a:off x="6391274" y="9525"/>
          <a:ext cx="1381125" cy="5410200"/>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15</xdr:col>
      <xdr:colOff>428624</xdr:colOff>
      <xdr:row>0</xdr:row>
      <xdr:rowOff>9525</xdr:rowOff>
    </xdr:from>
    <xdr:to>
      <xdr:col>19</xdr:col>
      <xdr:colOff>19049</xdr:colOff>
      <xdr:row>29</xdr:row>
      <xdr:rowOff>180975</xdr:rowOff>
    </xdr:to>
    <xdr:sp macro="" textlink="">
      <xdr:nvSpPr>
        <xdr:cNvPr id="4" name="직사각형 3"/>
        <xdr:cNvSpPr/>
      </xdr:nvSpPr>
      <xdr:spPr>
        <a:xfrm>
          <a:off x="9096374" y="9525"/>
          <a:ext cx="1381125" cy="5410200"/>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0</xdr:colOff>
      <xdr:row>86</xdr:row>
      <xdr:rowOff>142875</xdr:rowOff>
    </xdr:from>
    <xdr:to>
      <xdr:col>14</xdr:col>
      <xdr:colOff>638175</xdr:colOff>
      <xdr:row>96</xdr:row>
      <xdr:rowOff>4209</xdr:rowOff>
    </xdr:to>
    <xdr:pic>
      <xdr:nvPicPr>
        <xdr:cNvPr id="2" name="그림 1"/>
        <xdr:cNvPicPr>
          <a:picLocks noChangeAspect="1"/>
        </xdr:cNvPicPr>
      </xdr:nvPicPr>
      <xdr:blipFill>
        <a:blip xmlns:r="http://schemas.openxmlformats.org/officeDocument/2006/relationships" r:embed="rId1"/>
        <a:stretch>
          <a:fillRect/>
        </a:stretch>
      </xdr:blipFill>
      <xdr:spPr>
        <a:xfrm>
          <a:off x="0" y="10658475"/>
          <a:ext cx="10077450" cy="1385334"/>
        </a:xfrm>
        <a:prstGeom prst="rect">
          <a:avLst/>
        </a:prstGeom>
      </xdr:spPr>
    </xdr:pic>
    <xdr:clientData/>
  </xdr:twoCellAnchor>
  <xdr:twoCellAnchor>
    <xdr:from>
      <xdr:col>17</xdr:col>
      <xdr:colOff>19050</xdr:colOff>
      <xdr:row>44</xdr:row>
      <xdr:rowOff>76200</xdr:rowOff>
    </xdr:from>
    <xdr:to>
      <xdr:col>17</xdr:col>
      <xdr:colOff>723900</xdr:colOff>
      <xdr:row>46</xdr:row>
      <xdr:rowOff>0</xdr:rowOff>
    </xdr:to>
    <xdr:pic>
      <xdr:nvPicPr>
        <xdr:cNvPr id="3" name="_x240759888" descr="DRW000005fc07fb"/>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277600" y="6781800"/>
          <a:ext cx="70485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17</xdr:col>
      <xdr:colOff>676275</xdr:colOff>
      <xdr:row>46</xdr:row>
      <xdr:rowOff>47625</xdr:rowOff>
    </xdr:from>
    <xdr:to>
      <xdr:col>17</xdr:col>
      <xdr:colOff>1276350</xdr:colOff>
      <xdr:row>47</xdr:row>
      <xdr:rowOff>142874</xdr:rowOff>
    </xdr:to>
    <xdr:pic>
      <xdr:nvPicPr>
        <xdr:cNvPr id="4" name="_x240759248" descr="DRW000005fc0801"/>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1934825" y="7058025"/>
          <a:ext cx="600075" cy="24764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9.xml><?xml version="1.0" encoding="utf-8"?>
<xdr:wsDr xmlns:xdr="http://schemas.openxmlformats.org/drawingml/2006/spreadsheetDrawing" xmlns:a="http://schemas.openxmlformats.org/drawingml/2006/main">
  <xdr:twoCellAnchor>
    <xdr:from>
      <xdr:col>15</xdr:col>
      <xdr:colOff>367246</xdr:colOff>
      <xdr:row>52</xdr:row>
      <xdr:rowOff>34636</xdr:rowOff>
    </xdr:from>
    <xdr:to>
      <xdr:col>22</xdr:col>
      <xdr:colOff>1350818</xdr:colOff>
      <xdr:row>79</xdr:row>
      <xdr:rowOff>111040</xdr:rowOff>
    </xdr:to>
    <xdr:graphicFrame macro="">
      <xdr:nvGraphicFramePr>
        <xdr:cNvPr id="9" name="차트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884246</xdr:colOff>
      <xdr:row>52</xdr:row>
      <xdr:rowOff>138545</xdr:rowOff>
    </xdr:from>
    <xdr:to>
      <xdr:col>12</xdr:col>
      <xdr:colOff>554181</xdr:colOff>
      <xdr:row>79</xdr:row>
      <xdr:rowOff>192538</xdr:rowOff>
    </xdr:to>
    <xdr:graphicFrame macro="">
      <xdr:nvGraphicFramePr>
        <xdr:cNvPr id="10" name="차트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forum.high-logic.com/viewtopic.php?t=941" TargetMode="External"/><Relationship Id="rId1" Type="http://schemas.openxmlformats.org/officeDocument/2006/relationships/hyperlink" Target="http://orca.cf.ac.uk/view/cardiffauthors/A073445I.htm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35"/>
  <sheetViews>
    <sheetView zoomScale="80" zoomScaleNormal="80" workbookViewId="0">
      <selection activeCell="J2" sqref="A1:XFD1048576"/>
    </sheetView>
  </sheetViews>
  <sheetFormatPr defaultRowHeight="16.5" x14ac:dyDescent="0.3"/>
  <cols>
    <col min="1" max="1" width="16.125" style="1" bestFit="1" customWidth="1"/>
    <col min="2" max="2" width="19.25" style="8" bestFit="1" customWidth="1"/>
    <col min="3" max="3" width="20.25" style="1" customWidth="1"/>
    <col min="4" max="4" width="36.125" style="9" customWidth="1"/>
    <col min="5" max="5" width="27.875" style="1" customWidth="1"/>
    <col min="6" max="6" width="13" style="1" customWidth="1"/>
    <col min="7" max="7" width="11.875" style="1" bestFit="1" customWidth="1"/>
    <col min="8" max="8" width="18.125" style="9" customWidth="1"/>
    <col min="9" max="16384" width="9" style="1"/>
  </cols>
  <sheetData>
    <row r="1" spans="1:7" ht="78.75" customHeight="1" x14ac:dyDescent="0.3">
      <c r="A1" s="357" t="s">
        <v>577</v>
      </c>
      <c r="B1" s="357"/>
      <c r="C1" s="357"/>
      <c r="D1" s="357"/>
      <c r="E1" s="357"/>
      <c r="F1" s="357"/>
      <c r="G1" s="357"/>
    </row>
    <row r="2" spans="1:7" ht="78.75" customHeight="1" x14ac:dyDescent="0.3">
      <c r="A2" s="357" t="s">
        <v>578</v>
      </c>
      <c r="B2" s="357"/>
      <c r="C2" s="357"/>
      <c r="D2" s="357"/>
      <c r="E2" s="357"/>
      <c r="F2" s="357"/>
      <c r="G2" s="357"/>
    </row>
    <row r="3" spans="1:7" ht="93" customHeight="1" x14ac:dyDescent="0.3"/>
    <row r="5" spans="1:7" ht="27" x14ac:dyDescent="0.3">
      <c r="B5" s="13" t="s">
        <v>80</v>
      </c>
      <c r="C5" s="4" t="s">
        <v>39</v>
      </c>
    </row>
    <row r="6" spans="1:7" x14ac:dyDescent="0.3">
      <c r="A6" s="354" t="s">
        <v>81</v>
      </c>
      <c r="B6" s="13" t="s">
        <v>79</v>
      </c>
      <c r="C6" s="2" t="s">
        <v>32</v>
      </c>
    </row>
    <row r="7" spans="1:7" ht="27.75" customHeight="1" x14ac:dyDescent="0.3">
      <c r="A7" s="354"/>
      <c r="B7" s="13" t="s">
        <v>78</v>
      </c>
      <c r="C7" s="2" t="s">
        <v>33</v>
      </c>
    </row>
    <row r="8" spans="1:7" ht="27" x14ac:dyDescent="0.3">
      <c r="A8" s="354"/>
      <c r="B8" s="13" t="s">
        <v>77</v>
      </c>
      <c r="C8" s="4" t="s">
        <v>34</v>
      </c>
    </row>
    <row r="9" spans="1:7" x14ac:dyDescent="0.3">
      <c r="B9" s="13" t="s">
        <v>76</v>
      </c>
      <c r="C9" s="2" t="s">
        <v>35</v>
      </c>
    </row>
    <row r="11" spans="1:7" ht="24" x14ac:dyDescent="0.3">
      <c r="C11" s="13" t="s">
        <v>40</v>
      </c>
      <c r="D11" s="10" t="s">
        <v>47</v>
      </c>
    </row>
    <row r="12" spans="1:7" x14ac:dyDescent="0.3">
      <c r="B12" s="8" t="s">
        <v>42</v>
      </c>
      <c r="C12" s="11" t="s">
        <v>49</v>
      </c>
      <c r="D12" s="6" t="s">
        <v>83</v>
      </c>
      <c r="E12" s="9" t="s">
        <v>62</v>
      </c>
    </row>
    <row r="13" spans="1:7" ht="27" x14ac:dyDescent="0.3">
      <c r="B13" s="17" t="s">
        <v>261</v>
      </c>
      <c r="C13" s="197" t="s">
        <v>50</v>
      </c>
    </row>
    <row r="14" spans="1:7" x14ac:dyDescent="0.3">
      <c r="B14" s="4"/>
      <c r="C14" s="9"/>
      <c r="D14" s="5" t="s">
        <v>64</v>
      </c>
      <c r="E14" s="9" t="s">
        <v>63</v>
      </c>
    </row>
    <row r="15" spans="1:7" x14ac:dyDescent="0.3">
      <c r="B15" s="4"/>
      <c r="C15" s="9"/>
      <c r="D15" s="5" t="s">
        <v>60</v>
      </c>
      <c r="E15" s="10" t="s">
        <v>69</v>
      </c>
    </row>
    <row r="16" spans="1:7" x14ac:dyDescent="0.3">
      <c r="B16" s="4"/>
      <c r="C16" s="9"/>
      <c r="D16" s="15" t="s">
        <v>61</v>
      </c>
      <c r="E16" s="10" t="s">
        <v>70</v>
      </c>
    </row>
    <row r="17" spans="1:8" x14ac:dyDescent="0.3">
      <c r="E17" s="6"/>
    </row>
    <row r="18" spans="1:8" x14ac:dyDescent="0.3">
      <c r="D18" s="5" t="s">
        <v>58</v>
      </c>
      <c r="E18" s="7" t="s">
        <v>57</v>
      </c>
    </row>
    <row r="19" spans="1:8" x14ac:dyDescent="0.3">
      <c r="A19" s="354" t="s">
        <v>82</v>
      </c>
      <c r="C19" s="1" t="s">
        <v>48</v>
      </c>
      <c r="D19" s="1"/>
    </row>
    <row r="20" spans="1:8" x14ac:dyDescent="0.3">
      <c r="A20" s="354"/>
      <c r="C20" s="164" t="s">
        <v>37</v>
      </c>
      <c r="D20" s="14" t="s">
        <v>59</v>
      </c>
      <c r="E20" s="9" t="s">
        <v>38</v>
      </c>
    </row>
    <row r="21" spans="1:8" x14ac:dyDescent="0.3">
      <c r="A21" s="354"/>
      <c r="C21" s="7"/>
      <c r="D21" s="5" t="s">
        <v>60</v>
      </c>
      <c r="E21" s="10" t="s">
        <v>71</v>
      </c>
    </row>
    <row r="22" spans="1:8" x14ac:dyDescent="0.3">
      <c r="C22" s="7"/>
      <c r="D22" s="15" t="s">
        <v>61</v>
      </c>
      <c r="E22" s="10" t="s">
        <v>72</v>
      </c>
    </row>
    <row r="24" spans="1:8" ht="24" x14ac:dyDescent="0.3">
      <c r="C24" s="13" t="s">
        <v>40</v>
      </c>
      <c r="D24" s="12" t="s">
        <v>46</v>
      </c>
    </row>
    <row r="25" spans="1:8" x14ac:dyDescent="0.3">
      <c r="D25" s="12"/>
    </row>
    <row r="26" spans="1:8" ht="30" x14ac:dyDescent="0.3">
      <c r="D26" s="14" t="s">
        <v>54</v>
      </c>
      <c r="E26" s="16" t="s">
        <v>53</v>
      </c>
    </row>
    <row r="27" spans="1:8" ht="33" x14ac:dyDescent="0.3">
      <c r="B27" s="3" t="s">
        <v>41</v>
      </c>
    </row>
    <row r="28" spans="1:8" ht="30" x14ac:dyDescent="0.3">
      <c r="B28" s="20" t="s">
        <v>262</v>
      </c>
      <c r="C28" s="1" t="s">
        <v>43</v>
      </c>
      <c r="D28" s="3" t="s">
        <v>55</v>
      </c>
      <c r="E28" s="14" t="s">
        <v>67</v>
      </c>
      <c r="F28" s="9" t="s">
        <v>52</v>
      </c>
    </row>
    <row r="29" spans="1:8" ht="24" x14ac:dyDescent="0.3">
      <c r="C29" s="18" t="s">
        <v>45</v>
      </c>
      <c r="D29" s="50" t="s">
        <v>56</v>
      </c>
      <c r="E29" s="6"/>
      <c r="F29" s="9"/>
      <c r="H29" s="1"/>
    </row>
    <row r="30" spans="1:8" ht="30" x14ac:dyDescent="0.3">
      <c r="D30" s="1"/>
      <c r="E30" s="14" t="s">
        <v>68</v>
      </c>
      <c r="F30" s="9" t="s">
        <v>51</v>
      </c>
      <c r="H30" s="1"/>
    </row>
    <row r="32" spans="1:8" ht="30" x14ac:dyDescent="0.3">
      <c r="D32" s="14" t="s">
        <v>54</v>
      </c>
      <c r="E32" s="7" t="s">
        <v>73</v>
      </c>
    </row>
    <row r="34" spans="1:8" ht="30" x14ac:dyDescent="0.3">
      <c r="C34" s="1" t="s">
        <v>44</v>
      </c>
      <c r="D34" s="14" t="s">
        <v>65</v>
      </c>
      <c r="E34" s="7" t="s">
        <v>74</v>
      </c>
    </row>
    <row r="35" spans="1:8" x14ac:dyDescent="0.3">
      <c r="C35" s="19" t="s">
        <v>36</v>
      </c>
    </row>
    <row r="36" spans="1:8" ht="30" x14ac:dyDescent="0.3">
      <c r="D36" s="14" t="s">
        <v>66</v>
      </c>
      <c r="E36" s="7" t="s">
        <v>75</v>
      </c>
    </row>
    <row r="37" spans="1:8" x14ac:dyDescent="0.3">
      <c r="D37" s="14"/>
      <c r="E37" s="7"/>
    </row>
    <row r="38" spans="1:8" ht="36.75" customHeight="1" x14ac:dyDescent="0.3">
      <c r="A38" s="352" t="s">
        <v>579</v>
      </c>
      <c r="B38" s="352"/>
      <c r="C38" s="352"/>
      <c r="D38" s="352"/>
      <c r="E38" s="352"/>
      <c r="F38" s="352"/>
      <c r="G38" s="352"/>
      <c r="H38" s="352"/>
    </row>
    <row r="39" spans="1:8" x14ac:dyDescent="0.3">
      <c r="A39" s="1" t="s">
        <v>233</v>
      </c>
      <c r="B39" s="1"/>
      <c r="C39" s="49" t="s">
        <v>234</v>
      </c>
      <c r="D39" s="14"/>
      <c r="E39" s="7"/>
    </row>
    <row r="40" spans="1:8" x14ac:dyDescent="0.3">
      <c r="A40" s="49" t="s">
        <v>235</v>
      </c>
      <c r="D40" s="14"/>
      <c r="E40" s="7"/>
    </row>
    <row r="41" spans="1:8" x14ac:dyDescent="0.3">
      <c r="A41" s="49" t="s">
        <v>236</v>
      </c>
      <c r="D41" s="14"/>
      <c r="E41" s="7"/>
    </row>
    <row r="42" spans="1:8" x14ac:dyDescent="0.3">
      <c r="A42" s="49" t="s">
        <v>237</v>
      </c>
      <c r="D42" s="14"/>
      <c r="E42" s="7"/>
    </row>
    <row r="43" spans="1:8" x14ac:dyDescent="0.3">
      <c r="A43" s="49" t="s">
        <v>238</v>
      </c>
      <c r="D43" s="14"/>
      <c r="E43" s="7"/>
    </row>
    <row r="44" spans="1:8" x14ac:dyDescent="0.3">
      <c r="A44" s="49" t="s">
        <v>240</v>
      </c>
      <c r="D44" s="14"/>
      <c r="E44" s="7"/>
    </row>
    <row r="45" spans="1:8" x14ac:dyDescent="0.3">
      <c r="A45" s="49" t="s">
        <v>239</v>
      </c>
      <c r="D45" s="14"/>
      <c r="E45" s="7"/>
    </row>
    <row r="46" spans="1:8" x14ac:dyDescent="0.3">
      <c r="A46" s="49" t="s">
        <v>241</v>
      </c>
      <c r="D46" s="14"/>
      <c r="E46" s="7"/>
    </row>
    <row r="47" spans="1:8" x14ac:dyDescent="0.3">
      <c r="A47" s="49" t="s">
        <v>242</v>
      </c>
      <c r="D47" s="14"/>
      <c r="E47" s="7"/>
    </row>
    <row r="48" spans="1:8" x14ac:dyDescent="0.3">
      <c r="A48" s="49" t="s">
        <v>243</v>
      </c>
      <c r="D48" s="14"/>
      <c r="E48" s="7"/>
    </row>
    <row r="49" spans="1:8" x14ac:dyDescent="0.3">
      <c r="A49" s="49" t="s">
        <v>245</v>
      </c>
      <c r="D49" s="14"/>
      <c r="E49" s="7"/>
    </row>
    <row r="50" spans="1:8" x14ac:dyDescent="0.3">
      <c r="A50" s="49" t="s">
        <v>244</v>
      </c>
      <c r="D50" s="14"/>
      <c r="E50" s="7"/>
    </row>
    <row r="52" spans="1:8" ht="42.75" customHeight="1" x14ac:dyDescent="0.3">
      <c r="A52" s="356" t="s">
        <v>580</v>
      </c>
      <c r="B52" s="356"/>
      <c r="C52" s="356"/>
      <c r="D52" s="356"/>
      <c r="E52" s="356"/>
      <c r="F52" s="356"/>
      <c r="G52" s="356"/>
      <c r="H52" s="356"/>
    </row>
    <row r="53" spans="1:8" x14ac:dyDescent="0.3">
      <c r="A53" s="1" t="s">
        <v>149</v>
      </c>
      <c r="C53" s="258" t="s">
        <v>570</v>
      </c>
    </row>
    <row r="54" spans="1:8" x14ac:dyDescent="0.3">
      <c r="G54" s="1" t="s">
        <v>576</v>
      </c>
    </row>
    <row r="62" spans="1:8" x14ac:dyDescent="0.3">
      <c r="A62" s="353" t="s">
        <v>157</v>
      </c>
      <c r="B62" s="353"/>
    </row>
    <row r="63" spans="1:8" x14ac:dyDescent="0.3">
      <c r="A63" s="257"/>
      <c r="B63" s="257"/>
    </row>
    <row r="64" spans="1:8" ht="33.75" customHeight="1" x14ac:dyDescent="0.3">
      <c r="A64" s="356" t="s">
        <v>581</v>
      </c>
      <c r="B64" s="356"/>
      <c r="C64" s="356"/>
      <c r="D64" s="356"/>
      <c r="E64" s="356"/>
      <c r="F64" s="356"/>
      <c r="G64" s="356"/>
      <c r="H64" s="356"/>
    </row>
    <row r="65" spans="1:8" x14ac:dyDescent="0.3">
      <c r="A65" s="1" t="s">
        <v>148</v>
      </c>
      <c r="C65" s="1" t="s">
        <v>573</v>
      </c>
      <c r="G65" s="1" t="s">
        <v>574</v>
      </c>
    </row>
    <row r="75" spans="1:8" ht="34.5" customHeight="1" x14ac:dyDescent="0.3">
      <c r="A75" s="356" t="s">
        <v>582</v>
      </c>
      <c r="B75" s="356"/>
      <c r="C75" s="356"/>
      <c r="D75" s="356"/>
      <c r="E75" s="356"/>
      <c r="F75" s="356"/>
      <c r="G75" s="356"/>
      <c r="H75" s="356"/>
    </row>
    <row r="76" spans="1:8" x14ac:dyDescent="0.3">
      <c r="A76" s="1" t="s">
        <v>150</v>
      </c>
      <c r="C76" s="258" t="s">
        <v>570</v>
      </c>
    </row>
    <row r="77" spans="1:8" x14ac:dyDescent="0.3">
      <c r="G77" s="1" t="s">
        <v>575</v>
      </c>
    </row>
    <row r="87" spans="1:8" ht="39.75" customHeight="1" x14ac:dyDescent="0.3">
      <c r="A87" s="356" t="s">
        <v>583</v>
      </c>
      <c r="B87" s="356"/>
      <c r="C87" s="356"/>
      <c r="D87" s="356"/>
      <c r="E87" s="356"/>
      <c r="F87" s="356"/>
      <c r="G87" s="356"/>
      <c r="H87" s="356"/>
    </row>
    <row r="88" spans="1:8" x14ac:dyDescent="0.3">
      <c r="A88" s="1" t="s">
        <v>151</v>
      </c>
    </row>
    <row r="98" spans="1:8" ht="36" customHeight="1" x14ac:dyDescent="0.3">
      <c r="A98" s="356" t="s">
        <v>584</v>
      </c>
      <c r="B98" s="356"/>
      <c r="C98" s="356"/>
      <c r="D98" s="356"/>
      <c r="E98" s="356"/>
      <c r="F98" s="356"/>
      <c r="G98" s="356"/>
      <c r="H98" s="356"/>
    </row>
    <row r="99" spans="1:8" x14ac:dyDescent="0.3">
      <c r="A99" s="1" t="s">
        <v>152</v>
      </c>
      <c r="C99" s="258" t="s">
        <v>571</v>
      </c>
    </row>
    <row r="101" spans="1:8" x14ac:dyDescent="0.3">
      <c r="F101" s="1" t="s">
        <v>182</v>
      </c>
    </row>
    <row r="108" spans="1:8" ht="51" customHeight="1" x14ac:dyDescent="0.3">
      <c r="A108" s="356" t="s">
        <v>585</v>
      </c>
      <c r="B108" s="356"/>
      <c r="C108" s="356"/>
      <c r="D108" s="356"/>
      <c r="E108" s="356"/>
      <c r="F108" s="356"/>
      <c r="G108" s="356"/>
      <c r="H108" s="356"/>
    </row>
    <row r="109" spans="1:8" x14ac:dyDescent="0.3">
      <c r="A109" s="1" t="s">
        <v>555</v>
      </c>
      <c r="F109" s="258" t="s">
        <v>572</v>
      </c>
    </row>
    <row r="110" spans="1:8" ht="17.25" x14ac:dyDescent="0.3">
      <c r="A110" s="32" t="s">
        <v>154</v>
      </c>
    </row>
    <row r="111" spans="1:8" ht="17.25" x14ac:dyDescent="0.3">
      <c r="A111" s="32"/>
    </row>
    <row r="112" spans="1:8" ht="17.25" x14ac:dyDescent="0.3">
      <c r="A112" s="32"/>
    </row>
    <row r="113" spans="1:10" ht="17.25" x14ac:dyDescent="0.3">
      <c r="A113" s="32"/>
    </row>
    <row r="114" spans="1:10" ht="17.25" x14ac:dyDescent="0.3">
      <c r="A114" s="32"/>
    </row>
    <row r="116" spans="1:10" ht="44.25" customHeight="1" x14ac:dyDescent="0.3">
      <c r="A116" s="356" t="s">
        <v>586</v>
      </c>
      <c r="B116" s="356"/>
      <c r="C116" s="356"/>
      <c r="D116" s="356"/>
      <c r="E116" s="356"/>
      <c r="F116" s="356"/>
      <c r="G116" s="356"/>
      <c r="H116" s="356"/>
    </row>
    <row r="117" spans="1:10" x14ac:dyDescent="0.3">
      <c r="A117" s="1" t="s">
        <v>153</v>
      </c>
    </row>
    <row r="127" spans="1:10" x14ac:dyDescent="0.3">
      <c r="A127" s="256" t="s">
        <v>566</v>
      </c>
      <c r="D127" s="352" t="s">
        <v>556</v>
      </c>
      <c r="E127" s="352"/>
      <c r="F127" s="352" t="s">
        <v>563</v>
      </c>
      <c r="G127" s="352"/>
      <c r="H127" s="352"/>
      <c r="I127" s="352"/>
      <c r="J127" s="352"/>
    </row>
    <row r="128" spans="1:10" x14ac:dyDescent="0.3">
      <c r="A128" s="1" t="s">
        <v>564</v>
      </c>
      <c r="D128" s="253"/>
      <c r="E128" s="255" t="s">
        <v>565</v>
      </c>
      <c r="F128" s="253"/>
      <c r="G128" s="253"/>
      <c r="H128" s="253"/>
      <c r="I128" s="253"/>
      <c r="J128" s="253"/>
    </row>
    <row r="129" spans="1:13" x14ac:dyDescent="0.3">
      <c r="D129" s="197"/>
    </row>
    <row r="130" spans="1:13" x14ac:dyDescent="0.3">
      <c r="A130" s="1" t="s">
        <v>557</v>
      </c>
      <c r="D130" s="355" t="s">
        <v>558</v>
      </c>
      <c r="E130" s="355"/>
    </row>
    <row r="132" spans="1:13" ht="66" x14ac:dyDescent="0.3">
      <c r="A132" s="1" t="s">
        <v>559</v>
      </c>
      <c r="D132" s="254" t="s">
        <v>560</v>
      </c>
      <c r="E132" s="350" t="s">
        <v>562</v>
      </c>
      <c r="F132" s="350"/>
      <c r="G132" s="350"/>
      <c r="H132" s="351" t="s">
        <v>561</v>
      </c>
      <c r="I132" s="351"/>
      <c r="J132" s="351"/>
      <c r="K132" s="351"/>
      <c r="L132" s="351"/>
      <c r="M132" s="351"/>
    </row>
    <row r="134" spans="1:13" x14ac:dyDescent="0.3">
      <c r="A134" s="1" t="s">
        <v>567</v>
      </c>
    </row>
    <row r="135" spans="1:13" x14ac:dyDescent="0.3">
      <c r="A135" s="1" t="s">
        <v>568</v>
      </c>
      <c r="E135" s="1" t="s">
        <v>569</v>
      </c>
    </row>
  </sheetData>
  <mergeCells count="18">
    <mergeCell ref="A1:G1"/>
    <mergeCell ref="A2:G2"/>
    <mergeCell ref="A38:H38"/>
    <mergeCell ref="A52:H52"/>
    <mergeCell ref="E132:G132"/>
    <mergeCell ref="H132:M132"/>
    <mergeCell ref="F127:J127"/>
    <mergeCell ref="A62:B62"/>
    <mergeCell ref="A6:A8"/>
    <mergeCell ref="A19:A21"/>
    <mergeCell ref="D127:E127"/>
    <mergeCell ref="D130:E130"/>
    <mergeCell ref="A64:H64"/>
    <mergeCell ref="A75:H75"/>
    <mergeCell ref="A87:H87"/>
    <mergeCell ref="A98:H98"/>
    <mergeCell ref="A108:H108"/>
    <mergeCell ref="A116:H116"/>
  </mergeCells>
  <phoneticPr fontId="1" type="noConversion"/>
  <hyperlinks>
    <hyperlink ref="D132" r:id="rId1" display="http://orca.cf.ac.uk/view/cardiffauthors/A073445I.html"/>
    <hyperlink ref="A127" r:id="rId2"/>
  </hyperlinks>
  <pageMargins left="0.7" right="0.7" top="0.75" bottom="0.75" header="0.3" footer="0.3"/>
  <pageSetup paperSize="9" orientation="landscape" horizontalDpi="4294967295" verticalDpi="4294967295" r:id="rId3"/>
  <drawing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15"/>
  <sheetViews>
    <sheetView workbookViewId="0">
      <selection activeCell="D3" sqref="D3"/>
    </sheetView>
  </sheetViews>
  <sheetFormatPr defaultRowHeight="16.5" x14ac:dyDescent="0.3"/>
  <cols>
    <col min="1" max="1" width="2.625" customWidth="1"/>
    <col min="2" max="2" width="18.125" customWidth="1"/>
    <col min="3" max="3" width="3" customWidth="1"/>
    <col min="4" max="4" width="18.25" customWidth="1"/>
    <col min="5" max="5" width="3" customWidth="1"/>
  </cols>
  <sheetData>
    <row r="2" spans="1:7" x14ac:dyDescent="0.3">
      <c r="A2" s="250" t="s">
        <v>539</v>
      </c>
      <c r="B2" s="251"/>
      <c r="C2" s="250" t="s">
        <v>543</v>
      </c>
      <c r="D2" s="251"/>
      <c r="E2" s="250" t="s">
        <v>546</v>
      </c>
      <c r="F2" s="251"/>
      <c r="G2" s="252"/>
    </row>
    <row r="3" spans="1:7" x14ac:dyDescent="0.3">
      <c r="A3" s="250" t="s">
        <v>540</v>
      </c>
      <c r="B3" s="251" t="s">
        <v>548</v>
      </c>
      <c r="C3" s="250" t="s">
        <v>544</v>
      </c>
      <c r="D3" s="251" t="s">
        <v>520</v>
      </c>
      <c r="E3" s="250" t="s">
        <v>540</v>
      </c>
      <c r="F3" s="251" t="s">
        <v>551</v>
      </c>
      <c r="G3" s="252"/>
    </row>
    <row r="4" spans="1:7" x14ac:dyDescent="0.3">
      <c r="A4" s="250" t="s">
        <v>541</v>
      </c>
      <c r="B4" s="251" t="s">
        <v>549</v>
      </c>
      <c r="C4" s="250" t="s">
        <v>541</v>
      </c>
      <c r="D4" s="251" t="s">
        <v>521</v>
      </c>
      <c r="E4" s="250" t="s">
        <v>541</v>
      </c>
      <c r="F4" s="251" t="s">
        <v>552</v>
      </c>
      <c r="G4" s="252"/>
    </row>
    <row r="5" spans="1:7" x14ac:dyDescent="0.3">
      <c r="A5" s="250" t="s">
        <v>542</v>
      </c>
      <c r="B5" s="251" t="s">
        <v>550</v>
      </c>
      <c r="C5" s="250" t="s">
        <v>545</v>
      </c>
      <c r="D5" s="251" t="s">
        <v>522</v>
      </c>
      <c r="E5" s="250" t="s">
        <v>542</v>
      </c>
      <c r="F5" s="251" t="s">
        <v>553</v>
      </c>
      <c r="G5" s="252"/>
    </row>
    <row r="6" spans="1:7" x14ac:dyDescent="0.3">
      <c r="A6" s="199"/>
      <c r="C6" s="199"/>
    </row>
    <row r="7" spans="1:7" x14ac:dyDescent="0.3">
      <c r="A7" s="199"/>
      <c r="B7" s="199"/>
    </row>
    <row r="15" spans="1:7" x14ac:dyDescent="0.3">
      <c r="A15" s="199"/>
      <c r="B15" s="199"/>
    </row>
  </sheetData>
  <phoneticPr fontId="1" type="noConversion"/>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1"/>
  <sheetViews>
    <sheetView workbookViewId="0">
      <selection activeCell="M36" sqref="M36"/>
    </sheetView>
  </sheetViews>
  <sheetFormatPr defaultRowHeight="16.5" x14ac:dyDescent="0.3"/>
  <cols>
    <col min="1" max="1" width="2.375" bestFit="1" customWidth="1"/>
    <col min="4" max="4" width="28" customWidth="1"/>
    <col min="5" max="5" width="6.25" style="259" bestFit="1" customWidth="1"/>
    <col min="6" max="7" width="5.875" style="259" bestFit="1" customWidth="1"/>
    <col min="8" max="8" width="6.25" style="259" bestFit="1" customWidth="1"/>
    <col min="9" max="19" width="5.875" style="259" bestFit="1" customWidth="1"/>
    <col min="20" max="25" width="5.875" bestFit="1" customWidth="1"/>
  </cols>
  <sheetData>
    <row r="1" spans="1:25" x14ac:dyDescent="0.3">
      <c r="E1" s="418" t="s">
        <v>524</v>
      </c>
      <c r="F1" s="418"/>
      <c r="G1" s="418"/>
      <c r="H1" s="418" t="s">
        <v>525</v>
      </c>
      <c r="I1" s="418"/>
      <c r="J1" s="418"/>
      <c r="K1" s="418" t="s">
        <v>595</v>
      </c>
      <c r="L1" s="418"/>
      <c r="M1" s="418"/>
      <c r="N1" s="418" t="s">
        <v>596</v>
      </c>
      <c r="O1" s="418"/>
      <c r="P1" s="418"/>
      <c r="Q1" s="418" t="s">
        <v>525</v>
      </c>
      <c r="R1" s="418"/>
      <c r="S1" s="418"/>
      <c r="T1" s="418" t="s">
        <v>526</v>
      </c>
      <c r="U1" s="418"/>
      <c r="V1" s="418"/>
    </row>
    <row r="2" spans="1:25" s="259" customFormat="1" x14ac:dyDescent="0.3">
      <c r="A2" s="189"/>
      <c r="B2" s="189"/>
      <c r="C2" s="189"/>
      <c r="D2" s="189"/>
      <c r="E2" s="260" t="s">
        <v>593</v>
      </c>
      <c r="F2" s="261" t="s">
        <v>594</v>
      </c>
      <c r="G2" s="261" t="s">
        <v>537</v>
      </c>
      <c r="H2" s="260" t="s">
        <v>535</v>
      </c>
      <c r="I2" s="261" t="s">
        <v>536</v>
      </c>
      <c r="J2" s="261" t="s">
        <v>537</v>
      </c>
      <c r="K2" s="262" t="s">
        <v>535</v>
      </c>
      <c r="L2" s="263" t="s">
        <v>536</v>
      </c>
      <c r="M2" s="194" t="s">
        <v>537</v>
      </c>
      <c r="N2" s="264" t="s">
        <v>535</v>
      </c>
      <c r="O2" s="194" t="s">
        <v>536</v>
      </c>
      <c r="P2" s="194" t="s">
        <v>537</v>
      </c>
      <c r="Q2" s="264" t="s">
        <v>535</v>
      </c>
      <c r="R2" s="194" t="s">
        <v>536</v>
      </c>
      <c r="S2" s="194" t="s">
        <v>537</v>
      </c>
      <c r="T2" s="264" t="s">
        <v>597</v>
      </c>
      <c r="U2" s="194" t="s">
        <v>598</v>
      </c>
      <c r="V2" s="194" t="s">
        <v>599</v>
      </c>
      <c r="W2" s="265" t="s">
        <v>231</v>
      </c>
      <c r="X2" s="196" t="s">
        <v>230</v>
      </c>
      <c r="Y2" s="196" t="s">
        <v>229</v>
      </c>
    </row>
    <row r="3" spans="1:25" x14ac:dyDescent="0.3">
      <c r="A3" s="142">
        <v>5</v>
      </c>
      <c r="B3" s="142" t="s">
        <v>587</v>
      </c>
      <c r="C3" s="135"/>
      <c r="D3" s="135"/>
      <c r="E3" s="266"/>
      <c r="F3" s="267"/>
      <c r="G3" s="267"/>
      <c r="H3" s="266"/>
      <c r="I3" s="267"/>
      <c r="J3" s="267"/>
      <c r="K3" s="266"/>
      <c r="L3" s="267"/>
      <c r="M3" s="267"/>
      <c r="N3" s="266"/>
      <c r="O3" s="267"/>
      <c r="P3" s="267"/>
      <c r="Q3" s="266"/>
      <c r="R3" s="267"/>
      <c r="S3" s="267"/>
      <c r="T3" s="141"/>
      <c r="U3" s="135"/>
      <c r="V3" s="135"/>
      <c r="W3" s="141"/>
      <c r="X3" s="135"/>
      <c r="Y3" s="135"/>
    </row>
    <row r="4" spans="1:25" x14ac:dyDescent="0.3">
      <c r="A4" s="139"/>
      <c r="B4" s="139" t="s">
        <v>106</v>
      </c>
      <c r="C4" s="139" t="s">
        <v>588</v>
      </c>
      <c r="D4" s="139"/>
      <c r="E4" s="268">
        <v>0.5</v>
      </c>
      <c r="F4" s="269">
        <v>0.46296296296296297</v>
      </c>
      <c r="G4" s="269">
        <v>0.49203821656050956</v>
      </c>
      <c r="H4" s="268">
        <v>0.90909090909090906</v>
      </c>
      <c r="I4" s="269">
        <v>0.87068965517241381</v>
      </c>
      <c r="J4" s="269">
        <v>0.91176470588235292</v>
      </c>
      <c r="K4" s="268">
        <v>0.84615384615384615</v>
      </c>
      <c r="L4" s="269">
        <v>0.87272727272727268</v>
      </c>
      <c r="M4" s="269">
        <v>0.76923076923076927</v>
      </c>
      <c r="N4" s="268">
        <v>0.5</v>
      </c>
      <c r="O4" s="269">
        <v>0.53968253968253965</v>
      </c>
      <c r="P4" s="269">
        <v>0.39393939393939392</v>
      </c>
      <c r="Q4" s="268">
        <v>0.82499999999999996</v>
      </c>
      <c r="R4" s="269">
        <v>0.79166666666666663</v>
      </c>
      <c r="S4" s="269">
        <v>0.75714285714285712</v>
      </c>
      <c r="T4" s="143">
        <v>0.61538461538461542</v>
      </c>
      <c r="U4" s="139">
        <v>0.69565217391304346</v>
      </c>
      <c r="V4" s="139">
        <v>0.4838709677419355</v>
      </c>
      <c r="W4" s="143">
        <v>0.51948051948051943</v>
      </c>
      <c r="X4" s="139">
        <v>0.62365591397849462</v>
      </c>
      <c r="Y4" s="139">
        <v>0.43076923076923079</v>
      </c>
    </row>
    <row r="5" spans="1:25" x14ac:dyDescent="0.3">
      <c r="A5" s="139"/>
      <c r="B5" s="139"/>
      <c r="C5" s="139"/>
      <c r="D5" s="139"/>
      <c r="E5" s="268"/>
      <c r="F5" s="269"/>
      <c r="G5" s="269"/>
      <c r="H5" s="268"/>
      <c r="I5" s="269"/>
      <c r="J5" s="269"/>
      <c r="K5" s="268"/>
      <c r="L5" s="269"/>
      <c r="M5" s="269"/>
      <c r="N5" s="268"/>
      <c r="O5" s="269"/>
      <c r="P5" s="269"/>
      <c r="Q5" s="268"/>
      <c r="R5" s="269"/>
      <c r="S5" s="269"/>
      <c r="T5" s="143"/>
      <c r="U5" s="139"/>
      <c r="V5" s="139"/>
      <c r="W5" s="143"/>
      <c r="X5" s="139"/>
      <c r="Y5" s="139"/>
    </row>
    <row r="6" spans="1:25" x14ac:dyDescent="0.3">
      <c r="A6" s="139"/>
      <c r="B6" s="49" t="s">
        <v>370</v>
      </c>
      <c r="C6" s="135"/>
      <c r="D6" s="135"/>
      <c r="E6" s="268"/>
      <c r="F6" s="269"/>
      <c r="G6" s="269"/>
      <c r="H6" s="268"/>
      <c r="I6" s="269"/>
      <c r="J6" s="269"/>
      <c r="K6" s="268"/>
      <c r="L6" s="269"/>
      <c r="M6" s="269"/>
      <c r="N6" s="268"/>
      <c r="O6" s="269"/>
      <c r="P6" s="269"/>
      <c r="Q6" s="268"/>
      <c r="R6" s="269"/>
      <c r="S6" s="269"/>
      <c r="T6" s="143"/>
      <c r="U6" s="139"/>
      <c r="V6" s="139"/>
      <c r="W6" s="143"/>
      <c r="X6" s="139"/>
      <c r="Y6" s="139"/>
    </row>
    <row r="7" spans="1:25" x14ac:dyDescent="0.3">
      <c r="A7" s="139"/>
      <c r="B7" s="135" t="s">
        <v>403</v>
      </c>
      <c r="C7" s="135"/>
      <c r="D7" s="135"/>
      <c r="E7" s="268"/>
      <c r="F7" s="269"/>
      <c r="G7" s="269"/>
      <c r="H7" s="268"/>
      <c r="I7" s="269"/>
      <c r="J7" s="269"/>
      <c r="K7" s="268"/>
      <c r="L7" s="269"/>
      <c r="M7" s="269"/>
      <c r="N7" s="268"/>
      <c r="O7" s="269"/>
      <c r="P7" s="269"/>
      <c r="Q7" s="268"/>
      <c r="R7" s="269"/>
      <c r="S7" s="269"/>
      <c r="T7" s="143"/>
      <c r="U7" s="139"/>
      <c r="V7" s="139"/>
      <c r="W7" s="143"/>
      <c r="X7" s="139"/>
      <c r="Y7" s="139"/>
    </row>
    <row r="8" spans="1:25" hidden="1" x14ac:dyDescent="0.3">
      <c r="A8" s="139"/>
      <c r="B8" s="375" t="s">
        <v>424</v>
      </c>
      <c r="C8" s="375"/>
      <c r="D8" s="375"/>
      <c r="E8" s="268"/>
      <c r="F8" s="269"/>
      <c r="G8" s="269"/>
      <c r="H8" s="268" t="s">
        <v>252</v>
      </c>
      <c r="I8" s="269" t="s">
        <v>252</v>
      </c>
      <c r="J8" s="269" t="s">
        <v>252</v>
      </c>
      <c r="K8" s="268" t="s">
        <v>252</v>
      </c>
      <c r="L8" s="269" t="s">
        <v>252</v>
      </c>
      <c r="M8" s="269" t="s">
        <v>252</v>
      </c>
      <c r="N8" s="268"/>
      <c r="O8" s="269"/>
      <c r="P8" s="269"/>
      <c r="Q8" s="268"/>
      <c r="R8" s="269"/>
      <c r="S8" s="269"/>
      <c r="T8" s="143"/>
      <c r="U8" s="139"/>
      <c r="V8" s="139"/>
      <c r="W8" s="143"/>
      <c r="X8" s="139"/>
      <c r="Y8" s="139"/>
    </row>
    <row r="9" spans="1:25" x14ac:dyDescent="0.3">
      <c r="A9" s="139"/>
      <c r="B9" s="377" t="s">
        <v>429</v>
      </c>
      <c r="C9" s="377"/>
      <c r="D9" s="377"/>
      <c r="E9" s="268"/>
      <c r="F9" s="269"/>
      <c r="G9" s="269"/>
      <c r="H9" s="268" t="s">
        <v>252</v>
      </c>
      <c r="I9" s="269" t="s">
        <v>252</v>
      </c>
      <c r="J9" s="269" t="s">
        <v>252</v>
      </c>
      <c r="K9" s="268" t="s">
        <v>252</v>
      </c>
      <c r="L9" s="269" t="s">
        <v>252</v>
      </c>
      <c r="M9" s="269" t="s">
        <v>252</v>
      </c>
      <c r="N9" s="268"/>
      <c r="O9" s="269"/>
      <c r="P9" s="269"/>
      <c r="Q9" s="268" t="s">
        <v>252</v>
      </c>
      <c r="R9" s="269" t="s">
        <v>252</v>
      </c>
      <c r="S9" s="269" t="s">
        <v>252</v>
      </c>
      <c r="T9" s="143"/>
      <c r="U9" s="139"/>
      <c r="V9" s="139"/>
      <c r="W9" s="143"/>
      <c r="X9" s="139"/>
      <c r="Y9" s="139"/>
    </row>
    <row r="10" spans="1:25" x14ac:dyDescent="0.3">
      <c r="A10" s="139"/>
      <c r="B10" s="372" t="s">
        <v>431</v>
      </c>
      <c r="C10" s="372"/>
      <c r="D10" s="372"/>
      <c r="E10" s="268"/>
      <c r="F10" s="269"/>
      <c r="G10" s="269"/>
      <c r="H10" s="268"/>
      <c r="I10" s="269"/>
      <c r="J10" s="269"/>
      <c r="K10" s="268"/>
      <c r="L10" s="269"/>
      <c r="M10" s="269"/>
      <c r="N10" s="268"/>
      <c r="O10" s="269"/>
      <c r="P10" s="269"/>
      <c r="Q10" s="268"/>
      <c r="R10" s="269"/>
      <c r="S10" s="269"/>
      <c r="T10" s="143"/>
      <c r="U10" s="139"/>
      <c r="V10" s="139"/>
      <c r="W10" s="143"/>
      <c r="X10" s="139"/>
      <c r="Y10" s="139"/>
    </row>
    <row r="11" spans="1:25" hidden="1" x14ac:dyDescent="0.3">
      <c r="A11" s="139"/>
      <c r="B11" s="372" t="s">
        <v>425</v>
      </c>
      <c r="C11" s="372"/>
      <c r="D11" s="372"/>
      <c r="E11" s="268"/>
      <c r="F11" s="269"/>
      <c r="G11" s="269"/>
      <c r="H11" s="268"/>
      <c r="I11" s="269"/>
      <c r="J11" s="269"/>
      <c r="K11" s="268"/>
      <c r="L11" s="269"/>
      <c r="M11" s="269"/>
      <c r="N11" s="268"/>
      <c r="O11" s="269"/>
      <c r="P11" s="269"/>
      <c r="Q11" s="268"/>
      <c r="R11" s="269"/>
      <c r="S11" s="269"/>
      <c r="T11" s="143"/>
      <c r="U11" s="139"/>
      <c r="V11" s="139"/>
      <c r="W11" s="143"/>
      <c r="X11" s="139"/>
      <c r="Y11" s="139"/>
    </row>
    <row r="12" spans="1:25" x14ac:dyDescent="0.3">
      <c r="A12" s="139"/>
      <c r="B12" s="373" t="s">
        <v>430</v>
      </c>
      <c r="C12" s="374"/>
      <c r="D12" s="374"/>
      <c r="E12" s="268" t="s">
        <v>252</v>
      </c>
      <c r="F12" s="269" t="s">
        <v>252</v>
      </c>
      <c r="G12" s="269" t="s">
        <v>252</v>
      </c>
      <c r="H12" s="268"/>
      <c r="I12" s="269"/>
      <c r="J12" s="269"/>
      <c r="K12" s="268"/>
      <c r="L12" s="269"/>
      <c r="M12" s="269"/>
      <c r="N12" s="268" t="s">
        <v>252</v>
      </c>
      <c r="O12" s="269" t="s">
        <v>252</v>
      </c>
      <c r="P12" s="269" t="s">
        <v>252</v>
      </c>
      <c r="Q12" s="268"/>
      <c r="R12" s="269"/>
      <c r="S12" s="269"/>
      <c r="T12" s="143" t="s">
        <v>252</v>
      </c>
      <c r="U12" s="139" t="s">
        <v>252</v>
      </c>
      <c r="V12" s="139" t="s">
        <v>252</v>
      </c>
      <c r="W12" s="143" t="s">
        <v>252</v>
      </c>
      <c r="X12" s="139" t="s">
        <v>252</v>
      </c>
      <c r="Y12" s="139" t="s">
        <v>252</v>
      </c>
    </row>
    <row r="13" spans="1:25" x14ac:dyDescent="0.3">
      <c r="A13" s="139"/>
      <c r="B13" s="376" t="s">
        <v>591</v>
      </c>
      <c r="C13" s="375"/>
      <c r="D13" s="375"/>
      <c r="E13" s="268"/>
      <c r="F13" s="269"/>
      <c r="G13" s="269"/>
      <c r="H13" s="268"/>
      <c r="I13" s="269"/>
      <c r="J13" s="269"/>
      <c r="K13" s="268"/>
      <c r="L13" s="269"/>
      <c r="M13" s="269"/>
      <c r="N13" s="268"/>
      <c r="O13" s="269"/>
      <c r="P13" s="269"/>
      <c r="Q13" s="268"/>
      <c r="R13" s="269"/>
      <c r="S13" s="269"/>
      <c r="T13" s="143"/>
      <c r="U13" s="139"/>
      <c r="V13" s="139"/>
      <c r="W13" s="143"/>
      <c r="X13" s="139"/>
      <c r="Y13" s="139"/>
    </row>
    <row r="14" spans="1:25" x14ac:dyDescent="0.3">
      <c r="A14" s="139"/>
      <c r="B14" s="371" t="s">
        <v>590</v>
      </c>
      <c r="C14" s="371"/>
      <c r="D14" s="371"/>
      <c r="E14" s="268"/>
      <c r="F14" s="269"/>
      <c r="G14" s="269"/>
      <c r="H14" s="268"/>
      <c r="I14" s="269"/>
      <c r="J14" s="269"/>
      <c r="K14" s="268"/>
      <c r="L14" s="269"/>
      <c r="M14" s="269"/>
      <c r="N14" s="268"/>
      <c r="O14" s="269"/>
      <c r="P14" s="269"/>
      <c r="Q14" s="268"/>
      <c r="R14" s="269"/>
      <c r="S14" s="269"/>
      <c r="T14" s="143"/>
      <c r="U14" s="139"/>
      <c r="V14" s="139"/>
      <c r="W14" s="143"/>
      <c r="X14" s="139"/>
      <c r="Y14" s="139"/>
    </row>
    <row r="15" spans="1:25" x14ac:dyDescent="0.3">
      <c r="A15" s="139"/>
      <c r="B15" s="371" t="s">
        <v>592</v>
      </c>
      <c r="C15" s="372"/>
      <c r="D15" s="372"/>
      <c r="E15" s="268"/>
      <c r="F15" s="269"/>
      <c r="G15" s="269"/>
      <c r="H15" s="268"/>
      <c r="I15" s="269"/>
      <c r="J15" s="269"/>
      <c r="K15" s="268"/>
      <c r="L15" s="269"/>
      <c r="M15" s="269"/>
      <c r="N15" s="268"/>
      <c r="O15" s="269"/>
      <c r="P15" s="269"/>
      <c r="Q15" s="268"/>
      <c r="R15" s="269"/>
      <c r="S15" s="269"/>
      <c r="T15" s="143"/>
      <c r="U15" s="139"/>
      <c r="V15" s="139"/>
      <c r="W15" s="143"/>
      <c r="X15" s="139"/>
      <c r="Y15" s="139"/>
    </row>
    <row r="16" spans="1:25" x14ac:dyDescent="0.3">
      <c r="A16" s="139"/>
      <c r="B16" s="139"/>
      <c r="C16" s="139"/>
      <c r="D16" s="139"/>
      <c r="E16" s="268"/>
      <c r="F16" s="269"/>
      <c r="G16" s="269"/>
      <c r="H16" s="268"/>
      <c r="I16" s="269"/>
      <c r="J16" s="269"/>
      <c r="K16" s="268"/>
      <c r="L16" s="269"/>
      <c r="M16" s="269"/>
      <c r="N16" s="268"/>
      <c r="O16" s="269"/>
      <c r="P16" s="269"/>
      <c r="Q16" s="268"/>
      <c r="R16" s="269"/>
      <c r="S16" s="269"/>
      <c r="T16" s="143"/>
      <c r="U16" s="139"/>
      <c r="V16" s="139"/>
      <c r="W16" s="143"/>
      <c r="X16" s="139"/>
      <c r="Y16" s="139"/>
    </row>
    <row r="17" spans="1:25" x14ac:dyDescent="0.3">
      <c r="A17" s="139"/>
      <c r="B17" s="139"/>
      <c r="C17" s="139"/>
      <c r="D17" s="139"/>
      <c r="E17" s="268"/>
      <c r="F17" s="269"/>
      <c r="G17" s="269"/>
      <c r="H17" s="268"/>
      <c r="I17" s="269"/>
      <c r="J17" s="269"/>
      <c r="K17" s="268"/>
      <c r="L17" s="269"/>
      <c r="M17" s="269"/>
      <c r="N17" s="268"/>
      <c r="O17" s="269"/>
      <c r="P17" s="269"/>
      <c r="Q17" s="268"/>
      <c r="R17" s="269"/>
      <c r="S17" s="269"/>
      <c r="T17" s="143"/>
      <c r="U17" s="139"/>
      <c r="V17" s="139"/>
      <c r="W17" s="143"/>
      <c r="X17" s="139"/>
      <c r="Y17" s="139"/>
    </row>
    <row r="18" spans="1:25" x14ac:dyDescent="0.3">
      <c r="A18" s="142">
        <v>6</v>
      </c>
      <c r="B18" s="142" t="s">
        <v>589</v>
      </c>
      <c r="C18" s="135"/>
      <c r="D18" s="135"/>
      <c r="E18" s="266"/>
      <c r="F18" s="267"/>
      <c r="G18" s="267"/>
      <c r="H18" s="266"/>
      <c r="I18" s="267"/>
      <c r="J18" s="267"/>
      <c r="K18" s="266"/>
      <c r="L18" s="267"/>
      <c r="M18" s="267"/>
      <c r="N18" s="266"/>
      <c r="O18" s="267"/>
      <c r="P18" s="267"/>
      <c r="Q18" s="266"/>
      <c r="R18" s="267"/>
      <c r="S18" s="267"/>
      <c r="T18" s="141"/>
      <c r="U18" s="135"/>
      <c r="V18" s="135"/>
      <c r="W18" s="141"/>
      <c r="X18" s="135"/>
      <c r="Y18" s="135"/>
    </row>
    <row r="19" spans="1:25" x14ac:dyDescent="0.3">
      <c r="A19" s="139"/>
      <c r="B19" s="139" t="s">
        <v>109</v>
      </c>
      <c r="C19" s="139" t="s">
        <v>110</v>
      </c>
      <c r="D19" s="139"/>
      <c r="E19" s="268">
        <v>0.83274647887323938</v>
      </c>
      <c r="F19" s="269">
        <v>1.399092970521542</v>
      </c>
      <c r="G19" s="269">
        <v>0.8151408450704225</v>
      </c>
      <c r="H19" s="268">
        <v>0.73570324574961365</v>
      </c>
      <c r="I19" s="269">
        <v>0.74188562596599694</v>
      </c>
      <c r="J19" s="269">
        <v>0.73570324574961365</v>
      </c>
      <c r="K19" s="268">
        <v>0.66956521739130437</v>
      </c>
      <c r="L19" s="269">
        <v>0.66427546628407463</v>
      </c>
      <c r="M19" s="269">
        <v>0.67540029112081512</v>
      </c>
      <c r="N19" s="268">
        <v>0.77157360406091369</v>
      </c>
      <c r="O19" s="269">
        <v>0.82910321489001693</v>
      </c>
      <c r="P19" s="269">
        <v>0.94230769230769229</v>
      </c>
      <c r="Q19" s="268">
        <v>0.7260504201680672</v>
      </c>
      <c r="R19" s="269">
        <v>0.75966386554621845</v>
      </c>
      <c r="S19" s="269">
        <v>0.73043478260869565</v>
      </c>
      <c r="T19" s="143">
        <v>1.5607476635514019</v>
      </c>
      <c r="U19" s="139">
        <v>0.80769230769230771</v>
      </c>
      <c r="V19" s="139">
        <v>0.78384798099762465</v>
      </c>
      <c r="W19" s="143">
        <v>0.81749049429657794</v>
      </c>
      <c r="X19" s="139">
        <v>0.80916030534351147</v>
      </c>
      <c r="Y19" s="139">
        <v>0.80681818181818177</v>
      </c>
    </row>
    <row r="20" spans="1:25" x14ac:dyDescent="0.3">
      <c r="A20" s="139"/>
      <c r="B20" s="139" t="s">
        <v>420</v>
      </c>
      <c r="C20" s="139" t="s">
        <v>421</v>
      </c>
      <c r="D20" s="139"/>
      <c r="E20" s="268">
        <v>0.72010869565217395</v>
      </c>
      <c r="F20" s="269">
        <v>0.71714285714285719</v>
      </c>
      <c r="G20" s="269">
        <v>0.72750000000000004</v>
      </c>
      <c r="H20" s="268">
        <v>0.77519379844961245</v>
      </c>
      <c r="I20" s="269">
        <v>0.75379939209726443</v>
      </c>
      <c r="J20" s="269">
        <v>0.77272727272727271</v>
      </c>
      <c r="K20" s="268">
        <v>0.70833333333333337</v>
      </c>
      <c r="L20" s="269">
        <v>0.70231213872832365</v>
      </c>
      <c r="M20" s="269">
        <v>0.71287128712871284</v>
      </c>
      <c r="N20" s="268">
        <v>1.3398294762484775</v>
      </c>
      <c r="O20" s="269">
        <v>1.1824324324324325</v>
      </c>
      <c r="P20" s="269">
        <v>1.25</v>
      </c>
      <c r="Q20" s="268">
        <v>0.98666666666666669</v>
      </c>
      <c r="R20" s="269">
        <v>0.99310344827586206</v>
      </c>
      <c r="S20" s="269">
        <v>0.71461716937354991</v>
      </c>
      <c r="T20" s="143">
        <v>0.85882352941176465</v>
      </c>
      <c r="U20" s="139">
        <v>0.64893617021276595</v>
      </c>
      <c r="V20" s="139">
        <v>0.62773722627737227</v>
      </c>
      <c r="W20" s="143">
        <v>0.95302013422818788</v>
      </c>
      <c r="X20" s="139">
        <v>0.71511627906976749</v>
      </c>
      <c r="Y20" s="139">
        <v>0.74816625916870416</v>
      </c>
    </row>
    <row r="21" spans="1:25" x14ac:dyDescent="0.3">
      <c r="A21" s="139"/>
      <c r="B21" s="139" t="s">
        <v>422</v>
      </c>
      <c r="C21" s="139" t="s">
        <v>423</v>
      </c>
      <c r="D21" s="139"/>
      <c r="E21" s="268">
        <v>1.1564177517937815</v>
      </c>
      <c r="F21" s="269">
        <v>1.9509264529184847</v>
      </c>
      <c r="G21" s="269">
        <v>1.1204685155607181</v>
      </c>
      <c r="H21" s="268">
        <v>0.94905718701700159</v>
      </c>
      <c r="I21" s="269">
        <v>0.98419504412424597</v>
      </c>
      <c r="J21" s="269">
        <v>0.95208655332302949</v>
      </c>
      <c r="K21" s="268">
        <v>0.94526854219948842</v>
      </c>
      <c r="L21" s="269">
        <v>0.94584078738390875</v>
      </c>
      <c r="M21" s="269">
        <v>0.94743651948892127</v>
      </c>
      <c r="N21" s="268">
        <v>0.57587448084910009</v>
      </c>
      <c r="O21" s="269">
        <v>0.7011844331641286</v>
      </c>
      <c r="P21" s="269">
        <v>0.75384615384615383</v>
      </c>
      <c r="Q21" s="268">
        <v>0.73586191233250053</v>
      </c>
      <c r="R21" s="269">
        <v>0.76493930905695606</v>
      </c>
      <c r="S21" s="269">
        <v>1.0221343873517785</v>
      </c>
      <c r="T21" s="143">
        <v>1.8173089233132764</v>
      </c>
      <c r="U21" s="139">
        <v>1.244640605296343</v>
      </c>
      <c r="V21" s="139">
        <v>1.24868806275203</v>
      </c>
      <c r="W21" s="143">
        <v>0.85778932148021214</v>
      </c>
      <c r="X21" s="139">
        <v>1.1315087196673492</v>
      </c>
      <c r="Y21" s="139">
        <v>1.0783942364824717</v>
      </c>
    </row>
    <row r="22" spans="1:25" x14ac:dyDescent="0.3">
      <c r="A22" s="135"/>
      <c r="B22" s="135"/>
      <c r="C22" s="135"/>
      <c r="D22" s="135"/>
      <c r="E22" s="266"/>
      <c r="F22" s="267"/>
      <c r="G22" s="267"/>
      <c r="H22" s="266"/>
      <c r="I22" s="267"/>
      <c r="J22" s="267"/>
      <c r="K22" s="266"/>
      <c r="L22" s="267"/>
      <c r="M22" s="267"/>
      <c r="N22" s="266"/>
      <c r="O22" s="267"/>
      <c r="P22" s="267"/>
      <c r="Q22" s="266"/>
      <c r="R22" s="267"/>
      <c r="S22" s="267"/>
      <c r="T22" s="141"/>
      <c r="U22" s="135"/>
      <c r="V22" s="135"/>
      <c r="W22" s="141"/>
      <c r="X22" s="135"/>
      <c r="Y22" s="135"/>
    </row>
    <row r="23" spans="1:25" x14ac:dyDescent="0.3">
      <c r="A23" s="135"/>
      <c r="B23" s="49" t="s">
        <v>370</v>
      </c>
      <c r="C23" s="135"/>
      <c r="D23" s="135"/>
      <c r="E23" s="266"/>
      <c r="F23" s="267"/>
      <c r="G23" s="267"/>
      <c r="H23" s="266"/>
      <c r="I23" s="267"/>
      <c r="J23" s="267"/>
      <c r="K23" s="266"/>
      <c r="L23" s="267"/>
      <c r="M23" s="267"/>
      <c r="N23" s="266"/>
      <c r="O23" s="267"/>
      <c r="P23" s="267"/>
      <c r="Q23" s="266"/>
      <c r="R23" s="267"/>
      <c r="S23" s="267"/>
      <c r="T23" s="141"/>
      <c r="U23" s="135"/>
      <c r="V23" s="135"/>
      <c r="W23" s="141"/>
      <c r="X23" s="135"/>
      <c r="Y23" s="135"/>
    </row>
    <row r="24" spans="1:25" x14ac:dyDescent="0.3">
      <c r="A24" s="135"/>
      <c r="B24" s="135" t="s">
        <v>403</v>
      </c>
      <c r="C24" s="135"/>
      <c r="D24" s="135"/>
      <c r="E24" s="266"/>
      <c r="F24" s="267"/>
      <c r="G24" s="267"/>
      <c r="H24" s="266"/>
      <c r="I24" s="267"/>
      <c r="J24" s="267"/>
      <c r="K24" s="266"/>
      <c r="L24" s="267"/>
      <c r="M24" s="267"/>
      <c r="N24" s="266"/>
      <c r="O24" s="267"/>
      <c r="P24" s="267"/>
      <c r="Q24" s="266"/>
      <c r="R24" s="267"/>
      <c r="S24" s="267"/>
      <c r="T24" s="141"/>
      <c r="U24" s="135"/>
      <c r="V24" s="135"/>
      <c r="W24" s="141"/>
      <c r="X24" s="135"/>
      <c r="Y24" s="135"/>
    </row>
    <row r="25" spans="1:25" x14ac:dyDescent="0.3">
      <c r="A25" s="135"/>
      <c r="B25" s="375" t="s">
        <v>435</v>
      </c>
      <c r="C25" s="375"/>
      <c r="D25" s="375"/>
      <c r="E25" s="266"/>
      <c r="F25" s="267"/>
      <c r="G25" s="267"/>
      <c r="H25" s="266"/>
      <c r="I25" s="267"/>
      <c r="J25" s="267"/>
      <c r="K25" s="266"/>
      <c r="L25" s="267"/>
      <c r="M25" s="267"/>
      <c r="N25" s="266"/>
      <c r="O25" s="267"/>
      <c r="P25" s="267"/>
      <c r="Q25" s="266"/>
      <c r="R25" s="267"/>
      <c r="S25" s="267"/>
      <c r="T25" s="141"/>
      <c r="U25" s="135"/>
      <c r="V25" s="135"/>
      <c r="W25" s="141"/>
      <c r="X25" s="135"/>
      <c r="Y25" s="135"/>
    </row>
    <row r="26" spans="1:25" hidden="1" x14ac:dyDescent="0.3">
      <c r="A26" s="135"/>
      <c r="B26" s="372" t="s">
        <v>432</v>
      </c>
      <c r="C26" s="372"/>
      <c r="D26" s="372"/>
      <c r="E26" s="266"/>
      <c r="F26" s="267"/>
      <c r="G26" s="267"/>
      <c r="H26" s="266"/>
      <c r="I26" s="267"/>
      <c r="J26" s="267"/>
      <c r="K26" s="266"/>
      <c r="L26" s="267"/>
      <c r="M26" s="267"/>
      <c r="N26" s="266"/>
      <c r="O26" s="267"/>
      <c r="P26" s="267"/>
      <c r="Q26" s="266"/>
      <c r="R26" s="267"/>
      <c r="S26" s="267"/>
      <c r="T26" s="141"/>
      <c r="U26" s="135"/>
      <c r="V26" s="135"/>
      <c r="W26" s="141"/>
      <c r="X26" s="135"/>
      <c r="Y26" s="135"/>
    </row>
    <row r="27" spans="1:25" x14ac:dyDescent="0.3">
      <c r="A27" s="135"/>
      <c r="B27" s="373" t="s">
        <v>436</v>
      </c>
      <c r="C27" s="374"/>
      <c r="D27" s="374"/>
      <c r="E27" s="266" t="s">
        <v>252</v>
      </c>
      <c r="F27" s="267" t="s">
        <v>252</v>
      </c>
      <c r="G27" s="267" t="s">
        <v>252</v>
      </c>
      <c r="H27" s="266" t="s">
        <v>252</v>
      </c>
      <c r="I27" s="267" t="s">
        <v>252</v>
      </c>
      <c r="J27" s="267" t="s">
        <v>252</v>
      </c>
      <c r="K27" s="266" t="s">
        <v>252</v>
      </c>
      <c r="L27" s="267" t="s">
        <v>252</v>
      </c>
      <c r="M27" s="267" t="s">
        <v>252</v>
      </c>
      <c r="N27" s="266"/>
      <c r="O27" s="267"/>
      <c r="P27" s="267"/>
      <c r="Q27" s="266"/>
      <c r="R27" s="267"/>
      <c r="S27" s="267"/>
      <c r="T27" s="141" t="s">
        <v>252</v>
      </c>
      <c r="U27" s="135" t="s">
        <v>252</v>
      </c>
      <c r="V27" s="135" t="s">
        <v>252</v>
      </c>
      <c r="W27" s="141" t="s">
        <v>252</v>
      </c>
      <c r="X27" s="135" t="s">
        <v>252</v>
      </c>
      <c r="Y27" s="135" t="s">
        <v>252</v>
      </c>
    </row>
    <row r="28" spans="1:25" hidden="1" x14ac:dyDescent="0.3">
      <c r="A28" s="135"/>
      <c r="B28" s="372" t="s">
        <v>433</v>
      </c>
      <c r="C28" s="372"/>
      <c r="D28" s="372"/>
      <c r="E28" s="266"/>
      <c r="F28" s="267"/>
      <c r="G28" s="267"/>
      <c r="H28" s="266"/>
      <c r="I28" s="267"/>
      <c r="J28" s="267"/>
      <c r="K28" s="266"/>
      <c r="L28" s="267"/>
      <c r="M28" s="267"/>
      <c r="N28" s="266"/>
      <c r="O28" s="267"/>
      <c r="P28" s="267"/>
      <c r="Q28" s="266"/>
      <c r="R28" s="267"/>
      <c r="S28" s="267"/>
      <c r="T28" s="141"/>
      <c r="U28" s="135"/>
      <c r="V28" s="135"/>
      <c r="W28" s="141"/>
      <c r="X28" s="135"/>
      <c r="Y28" s="135"/>
    </row>
    <row r="29" spans="1:25" x14ac:dyDescent="0.3">
      <c r="A29" s="135"/>
      <c r="B29" s="373" t="s">
        <v>437</v>
      </c>
      <c r="C29" s="374"/>
      <c r="D29" s="374"/>
      <c r="E29" s="266"/>
      <c r="F29" s="267"/>
      <c r="G29" s="267"/>
      <c r="H29" s="266"/>
      <c r="I29" s="267"/>
      <c r="J29" s="267"/>
      <c r="K29" s="266"/>
      <c r="L29" s="267"/>
      <c r="M29" s="267"/>
      <c r="N29" s="266"/>
      <c r="O29" s="267"/>
      <c r="P29" s="267"/>
      <c r="Q29" s="266"/>
      <c r="R29" s="267"/>
      <c r="S29" s="267"/>
      <c r="T29" s="141"/>
      <c r="U29" s="135"/>
      <c r="V29" s="135"/>
      <c r="W29" s="141"/>
      <c r="X29" s="135"/>
      <c r="Y29" s="135"/>
    </row>
    <row r="30" spans="1:25" x14ac:dyDescent="0.3">
      <c r="A30" s="135"/>
      <c r="B30" s="376" t="s">
        <v>434</v>
      </c>
      <c r="C30" s="375"/>
      <c r="D30" s="375"/>
      <c r="E30" s="266"/>
      <c r="F30" s="267"/>
      <c r="G30" s="267"/>
      <c r="H30" s="266"/>
      <c r="I30" s="267"/>
      <c r="J30" s="267"/>
      <c r="K30" s="266"/>
      <c r="L30" s="267"/>
      <c r="M30" s="267"/>
      <c r="N30" s="266" t="s">
        <v>252</v>
      </c>
      <c r="O30" s="270" t="s">
        <v>252</v>
      </c>
      <c r="P30" s="270" t="s">
        <v>252</v>
      </c>
      <c r="Q30" s="266" t="s">
        <v>252</v>
      </c>
      <c r="R30" s="270" t="s">
        <v>252</v>
      </c>
      <c r="S30" s="270" t="s">
        <v>252</v>
      </c>
      <c r="T30" s="141"/>
      <c r="U30" s="135"/>
      <c r="V30" s="135"/>
      <c r="W30" s="141"/>
      <c r="X30" s="135"/>
      <c r="Y30" s="135"/>
    </row>
    <row r="31" spans="1:25" x14ac:dyDescent="0.3">
      <c r="A31" s="135"/>
      <c r="B31" s="371"/>
      <c r="C31" s="371"/>
      <c r="D31" s="371"/>
      <c r="E31" s="266"/>
      <c r="F31" s="267"/>
      <c r="G31" s="267"/>
      <c r="H31" s="266"/>
      <c r="I31" s="267"/>
      <c r="J31" s="267"/>
      <c r="K31" s="266"/>
      <c r="L31" s="267"/>
      <c r="M31" s="267"/>
      <c r="N31" s="266"/>
      <c r="O31" s="267"/>
      <c r="P31" s="267"/>
      <c r="Q31" s="266"/>
      <c r="R31" s="267"/>
      <c r="S31" s="267"/>
      <c r="T31" s="141"/>
      <c r="U31" s="135"/>
      <c r="V31" s="135"/>
      <c r="W31" s="141"/>
      <c r="X31" s="135"/>
      <c r="Y31" s="135"/>
    </row>
  </sheetData>
  <mergeCells count="21">
    <mergeCell ref="N1:P1"/>
    <mergeCell ref="Q1:S1"/>
    <mergeCell ref="T1:V1"/>
    <mergeCell ref="B29:D29"/>
    <mergeCell ref="B30:D30"/>
    <mergeCell ref="B31:D31"/>
    <mergeCell ref="E1:G1"/>
    <mergeCell ref="H1:J1"/>
    <mergeCell ref="K1:M1"/>
    <mergeCell ref="B14:D14"/>
    <mergeCell ref="B15:D15"/>
    <mergeCell ref="B25:D25"/>
    <mergeCell ref="B26:D26"/>
    <mergeCell ref="B27:D27"/>
    <mergeCell ref="B28:D28"/>
    <mergeCell ref="B8:D8"/>
    <mergeCell ref="B9:D9"/>
    <mergeCell ref="B10:D10"/>
    <mergeCell ref="B11:D11"/>
    <mergeCell ref="B12:D12"/>
    <mergeCell ref="B13:D13"/>
  </mergeCells>
  <phoneticPr fontId="1" type="noConversion"/>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93"/>
  <sheetViews>
    <sheetView topLeftCell="A13" workbookViewId="0">
      <selection activeCell="R88" sqref="R88"/>
    </sheetView>
  </sheetViews>
  <sheetFormatPr defaultRowHeight="12" x14ac:dyDescent="0.3"/>
  <cols>
    <col min="1" max="1" width="5.875" style="279" bestFit="1" customWidth="1"/>
    <col min="2" max="2" width="12" style="189" customWidth="1"/>
    <col min="3" max="3" width="21.25" style="282" bestFit="1" customWidth="1"/>
    <col min="4" max="4" width="8.25" style="307" customWidth="1"/>
    <col min="5" max="5" width="6.125" style="308" customWidth="1"/>
    <col min="6" max="6" width="6.875" style="308" customWidth="1"/>
    <col min="7" max="8" width="7.375" style="308" customWidth="1"/>
    <col min="9" max="9" width="8.25" style="308" customWidth="1"/>
    <col min="10" max="10" width="7.875" style="308" customWidth="1"/>
    <col min="11" max="11" width="7.5" style="289" bestFit="1" customWidth="1"/>
    <col min="12" max="12" width="8.375" style="289" bestFit="1" customWidth="1"/>
    <col min="13" max="14" width="8.375" style="289" customWidth="1"/>
    <col min="15" max="16" width="9" style="282"/>
    <col min="17" max="17" width="5.875" style="282" bestFit="1" customWidth="1"/>
    <col min="18" max="18" width="17.875" style="282" customWidth="1"/>
    <col min="19" max="19" width="8.75" style="282" bestFit="1" customWidth="1"/>
    <col min="20" max="20" width="10.25" style="282" bestFit="1" customWidth="1"/>
    <col min="21" max="22" width="8.75" style="282" bestFit="1" customWidth="1"/>
    <col min="23" max="23" width="7.5" style="282" bestFit="1" customWidth="1"/>
    <col min="24" max="25" width="8.75" style="282" bestFit="1" customWidth="1"/>
    <col min="26" max="26" width="9.625" style="282" bestFit="1" customWidth="1"/>
    <col min="27" max="27" width="6.625" style="282" bestFit="1" customWidth="1"/>
    <col min="28" max="29" width="10.25" style="282" bestFit="1" customWidth="1"/>
    <col min="30" max="16384" width="9" style="282"/>
  </cols>
  <sheetData>
    <row r="1" spans="1:29" x14ac:dyDescent="0.3">
      <c r="B1" s="280"/>
      <c r="C1" s="281"/>
      <c r="D1" s="297" t="s">
        <v>322</v>
      </c>
      <c r="E1" s="297" t="s">
        <v>263</v>
      </c>
      <c r="F1" s="297">
        <v>6</v>
      </c>
      <c r="G1" s="297" t="s">
        <v>323</v>
      </c>
      <c r="H1" s="297" t="s">
        <v>265</v>
      </c>
      <c r="I1" s="297" t="s">
        <v>307</v>
      </c>
      <c r="J1" s="297" t="s">
        <v>324</v>
      </c>
      <c r="K1" s="290"/>
      <c r="L1" s="290"/>
      <c r="M1" s="290"/>
      <c r="N1" s="290"/>
      <c r="Q1" s="279"/>
      <c r="R1" s="280"/>
      <c r="S1" s="297"/>
      <c r="T1" s="297"/>
      <c r="U1" s="297"/>
      <c r="V1" s="297"/>
      <c r="W1" s="297"/>
      <c r="X1" s="297"/>
      <c r="Y1" s="297"/>
      <c r="Z1" s="290"/>
      <c r="AA1" s="290"/>
    </row>
    <row r="2" spans="1:29" x14ac:dyDescent="0.3">
      <c r="B2" s="127"/>
      <c r="C2" s="279"/>
      <c r="D2" s="298" t="s">
        <v>616</v>
      </c>
      <c r="E2" s="298" t="s">
        <v>617</v>
      </c>
      <c r="F2" s="299" t="s">
        <v>618</v>
      </c>
      <c r="G2" s="299" t="s">
        <v>619</v>
      </c>
      <c r="H2" s="299" t="s">
        <v>620</v>
      </c>
      <c r="I2" s="299" t="s">
        <v>621</v>
      </c>
      <c r="J2" s="299" t="s">
        <v>622</v>
      </c>
      <c r="K2" s="291" t="s">
        <v>623</v>
      </c>
      <c r="L2" s="312" t="s">
        <v>602</v>
      </c>
      <c r="M2" s="312" t="s">
        <v>652</v>
      </c>
      <c r="N2" s="291" t="s">
        <v>653</v>
      </c>
      <c r="Q2" s="279"/>
      <c r="R2" s="314"/>
      <c r="S2" s="315" t="s">
        <v>616</v>
      </c>
      <c r="T2" s="315" t="s">
        <v>617</v>
      </c>
      <c r="U2" s="316" t="s">
        <v>618</v>
      </c>
      <c r="V2" s="316" t="s">
        <v>619</v>
      </c>
      <c r="W2" s="316" t="s">
        <v>620</v>
      </c>
      <c r="X2" s="316" t="s">
        <v>621</v>
      </c>
      <c r="Y2" s="316" t="s">
        <v>622</v>
      </c>
      <c r="Z2" s="317" t="s">
        <v>623</v>
      </c>
      <c r="AA2" s="317" t="s">
        <v>624</v>
      </c>
      <c r="AB2" s="318" t="s">
        <v>652</v>
      </c>
      <c r="AC2" s="317" t="s">
        <v>653</v>
      </c>
    </row>
    <row r="3" spans="1:29" hidden="1" x14ac:dyDescent="0.3">
      <c r="A3" s="283"/>
      <c r="B3" s="284" t="s">
        <v>88</v>
      </c>
      <c r="C3" s="285"/>
      <c r="D3" s="297">
        <v>1</v>
      </c>
      <c r="E3" s="297">
        <v>2</v>
      </c>
      <c r="F3" s="297" t="s">
        <v>611</v>
      </c>
      <c r="G3" s="297" t="s">
        <v>307</v>
      </c>
      <c r="H3" s="297" t="s">
        <v>612</v>
      </c>
      <c r="I3" s="297" t="s">
        <v>613</v>
      </c>
      <c r="J3" s="297" t="s">
        <v>614</v>
      </c>
      <c r="K3" s="292" t="s">
        <v>615</v>
      </c>
      <c r="L3" s="292" t="s">
        <v>326</v>
      </c>
      <c r="M3" s="292" t="s">
        <v>657</v>
      </c>
      <c r="N3" s="292" t="s">
        <v>658</v>
      </c>
      <c r="Q3" s="283"/>
      <c r="R3" s="319" t="s">
        <v>88</v>
      </c>
      <c r="S3" s="320">
        <v>1</v>
      </c>
      <c r="T3" s="320">
        <v>2</v>
      </c>
      <c r="U3" s="320" t="s">
        <v>611</v>
      </c>
      <c r="V3" s="320" t="s">
        <v>307</v>
      </c>
      <c r="W3" s="320" t="s">
        <v>612</v>
      </c>
      <c r="X3" s="320" t="s">
        <v>613</v>
      </c>
      <c r="Y3" s="320" t="s">
        <v>614</v>
      </c>
      <c r="Z3" s="321" t="s">
        <v>615</v>
      </c>
      <c r="AA3" s="321" t="s">
        <v>326</v>
      </c>
      <c r="AB3" s="322">
        <v>10</v>
      </c>
      <c r="AC3" s="322">
        <v>11</v>
      </c>
    </row>
    <row r="4" spans="1:29" x14ac:dyDescent="0.3">
      <c r="A4" s="283"/>
      <c r="B4" s="284" t="s">
        <v>0</v>
      </c>
      <c r="C4" s="286" t="s">
        <v>1</v>
      </c>
      <c r="D4" s="300">
        <v>2.5249999999999999</v>
      </c>
      <c r="E4" s="300">
        <v>1</v>
      </c>
      <c r="F4" s="300">
        <v>2.0512820512820511</v>
      </c>
      <c r="G4" s="300">
        <v>2.3372093023255816</v>
      </c>
      <c r="H4" s="300">
        <v>1.0483870967741935</v>
      </c>
      <c r="I4" s="300">
        <v>2.116883116883117</v>
      </c>
      <c r="J4" s="300">
        <v>2</v>
      </c>
      <c r="K4" s="293">
        <v>2.2708333333333335</v>
      </c>
      <c r="L4" s="293">
        <v>1</v>
      </c>
      <c r="M4" s="293">
        <v>1</v>
      </c>
      <c r="N4" s="293">
        <v>1.1162790697674418</v>
      </c>
      <c r="Q4" s="283"/>
      <c r="R4" s="319" t="s">
        <v>704</v>
      </c>
      <c r="S4" s="323">
        <v>115</v>
      </c>
      <c r="T4" s="323">
        <v>0</v>
      </c>
      <c r="U4" s="323">
        <v>82</v>
      </c>
      <c r="V4" s="323">
        <v>96</v>
      </c>
      <c r="W4" s="323">
        <v>15</v>
      </c>
      <c r="X4" s="323">
        <v>87</v>
      </c>
      <c r="Y4" s="323">
        <v>77</v>
      </c>
      <c r="Z4" s="324">
        <v>74</v>
      </c>
      <c r="AA4" s="324">
        <v>0</v>
      </c>
      <c r="AB4" s="325">
        <v>0</v>
      </c>
      <c r="AC4" s="325">
        <v>0</v>
      </c>
    </row>
    <row r="5" spans="1:29" x14ac:dyDescent="0.3">
      <c r="A5" s="283"/>
      <c r="B5" s="284" t="s">
        <v>2</v>
      </c>
      <c r="C5" s="287" t="s">
        <v>3</v>
      </c>
      <c r="D5" s="301">
        <v>0.7</v>
      </c>
      <c r="E5" s="301">
        <v>0</v>
      </c>
      <c r="F5" s="301">
        <v>0.55128205128205132</v>
      </c>
      <c r="G5" s="301">
        <v>0.62790697674418605</v>
      </c>
      <c r="H5" s="301">
        <v>0.29838709677419356</v>
      </c>
      <c r="I5" s="301">
        <v>0.66233766233766234</v>
      </c>
      <c r="J5" s="301">
        <v>0.72499999999999998</v>
      </c>
      <c r="K5" s="293">
        <v>1.1458333333333333</v>
      </c>
      <c r="L5" s="293">
        <v>0</v>
      </c>
      <c r="M5" s="293">
        <v>0</v>
      </c>
      <c r="N5" s="293">
        <v>0</v>
      </c>
      <c r="Q5" s="283"/>
      <c r="R5" s="319" t="s">
        <v>705</v>
      </c>
      <c r="S5" s="326">
        <v>80</v>
      </c>
      <c r="T5" s="326">
        <v>87</v>
      </c>
      <c r="U5" s="326">
        <v>77</v>
      </c>
      <c r="V5" s="326">
        <v>95</v>
      </c>
      <c r="W5" s="326">
        <v>145</v>
      </c>
      <c r="X5" s="326">
        <v>77</v>
      </c>
      <c r="Y5" s="326">
        <v>90</v>
      </c>
      <c r="Z5" s="324">
        <v>96</v>
      </c>
      <c r="AA5" s="324">
        <v>97</v>
      </c>
      <c r="AB5" s="325">
        <v>69</v>
      </c>
      <c r="AC5" s="325">
        <v>94</v>
      </c>
    </row>
    <row r="6" spans="1:29" x14ac:dyDescent="0.3">
      <c r="A6" s="283"/>
      <c r="B6" s="284" t="s">
        <v>4</v>
      </c>
      <c r="C6" s="287" t="s">
        <v>5</v>
      </c>
      <c r="D6" s="301">
        <v>0.12191011235955056</v>
      </c>
      <c r="E6" s="301">
        <v>0</v>
      </c>
      <c r="F6" s="301">
        <v>9.7872340425531917E-2</v>
      </c>
      <c r="G6" s="301">
        <v>0.13014460511679643</v>
      </c>
      <c r="H6" s="301">
        <v>0.10658307210031348</v>
      </c>
      <c r="I6" s="301">
        <v>0.12345679012345678</v>
      </c>
      <c r="J6" s="301">
        <v>6.5909090909090903E-2</v>
      </c>
      <c r="K6" s="293">
        <v>0.26074895977808599</v>
      </c>
      <c r="L6" s="293">
        <v>0</v>
      </c>
      <c r="M6" s="293">
        <v>0</v>
      </c>
      <c r="N6" s="293">
        <v>0</v>
      </c>
      <c r="Q6" s="283"/>
      <c r="R6" s="319" t="s">
        <v>706</v>
      </c>
      <c r="S6" s="326">
        <v>6</v>
      </c>
      <c r="T6" s="326">
        <v>0</v>
      </c>
      <c r="U6" s="326">
        <v>0</v>
      </c>
      <c r="V6" s="326">
        <v>12</v>
      </c>
      <c r="W6" s="326">
        <v>0</v>
      </c>
      <c r="X6" s="326">
        <v>0</v>
      </c>
      <c r="Y6" s="326">
        <v>0</v>
      </c>
      <c r="Z6" s="324">
        <v>48</v>
      </c>
      <c r="AA6" s="324">
        <v>0</v>
      </c>
      <c r="AB6" s="325">
        <v>0</v>
      </c>
      <c r="AC6" s="325">
        <v>17</v>
      </c>
    </row>
    <row r="7" spans="1:29" x14ac:dyDescent="0.3">
      <c r="A7" s="283"/>
      <c r="B7" s="284" t="s">
        <v>6</v>
      </c>
      <c r="C7" s="287" t="s">
        <v>7</v>
      </c>
      <c r="D7" s="301">
        <v>0.33750000000000002</v>
      </c>
      <c r="E7" s="301">
        <v>0.5</v>
      </c>
      <c r="F7" s="301">
        <v>0.5</v>
      </c>
      <c r="G7" s="301">
        <v>1</v>
      </c>
      <c r="H7" s="301">
        <v>0.29838709677419356</v>
      </c>
      <c r="I7" s="301">
        <v>0.25974025974025972</v>
      </c>
      <c r="J7" s="301">
        <v>0.5</v>
      </c>
      <c r="K7" s="293">
        <v>0.47916666666666669</v>
      </c>
      <c r="L7" s="293">
        <v>0.4631578947368421</v>
      </c>
      <c r="M7" s="293">
        <v>0.5</v>
      </c>
      <c r="N7" s="293">
        <v>0.5</v>
      </c>
      <c r="Q7" s="283"/>
      <c r="R7" s="319" t="s">
        <v>644</v>
      </c>
      <c r="S7" s="326" t="s">
        <v>642</v>
      </c>
      <c r="T7" s="326" t="s">
        <v>643</v>
      </c>
      <c r="U7" s="326" t="s">
        <v>643</v>
      </c>
      <c r="V7" s="326" t="s">
        <v>659</v>
      </c>
      <c r="W7" s="326" t="s">
        <v>667</v>
      </c>
      <c r="X7" s="326" t="s">
        <v>670</v>
      </c>
      <c r="Y7" s="326" t="s">
        <v>659</v>
      </c>
      <c r="Z7" s="324" t="s">
        <v>659</v>
      </c>
      <c r="AA7" s="324" t="s">
        <v>670</v>
      </c>
      <c r="AB7" s="325" t="s">
        <v>667</v>
      </c>
      <c r="AC7" s="325" t="s">
        <v>675</v>
      </c>
    </row>
    <row r="8" spans="1:29" x14ac:dyDescent="0.3">
      <c r="A8" s="283"/>
      <c r="B8" s="284" t="s">
        <v>8</v>
      </c>
      <c r="C8" s="287"/>
      <c r="D8" s="301">
        <v>17</v>
      </c>
      <c r="E8" s="301">
        <v>0</v>
      </c>
      <c r="F8" s="301">
        <v>0</v>
      </c>
      <c r="G8" s="301">
        <v>21</v>
      </c>
      <c r="H8" s="301">
        <v>10</v>
      </c>
      <c r="I8" s="301">
        <v>16</v>
      </c>
      <c r="J8" s="301">
        <v>33</v>
      </c>
      <c r="K8" s="293">
        <v>25</v>
      </c>
      <c r="L8" s="293">
        <v>0</v>
      </c>
      <c r="M8" s="293">
        <v>0</v>
      </c>
      <c r="N8" s="293">
        <v>0</v>
      </c>
      <c r="Q8" s="283"/>
      <c r="R8" s="319" t="s">
        <v>627</v>
      </c>
      <c r="S8" s="326">
        <v>619</v>
      </c>
      <c r="T8" s="326" t="s">
        <v>656</v>
      </c>
      <c r="U8" s="326" t="s">
        <v>656</v>
      </c>
      <c r="V8" s="326">
        <v>557</v>
      </c>
      <c r="W8" s="326">
        <v>653</v>
      </c>
      <c r="X8" s="326">
        <v>637</v>
      </c>
      <c r="Y8" s="326">
        <v>616</v>
      </c>
      <c r="Z8" s="324">
        <v>508</v>
      </c>
      <c r="AA8" s="324" t="s">
        <v>656</v>
      </c>
      <c r="AB8" s="325" t="s">
        <v>656</v>
      </c>
      <c r="AC8" s="325" t="s">
        <v>671</v>
      </c>
    </row>
    <row r="9" spans="1:29" x14ac:dyDescent="0.3">
      <c r="A9" s="283"/>
      <c r="B9" s="284" t="s">
        <v>9</v>
      </c>
      <c r="C9" s="287" t="s">
        <v>10</v>
      </c>
      <c r="D9" s="301">
        <v>0.56662804171494785</v>
      </c>
      <c r="E9" s="301">
        <v>1</v>
      </c>
      <c r="F9" s="301">
        <v>1</v>
      </c>
      <c r="G9" s="301">
        <v>0.76525821596244137</v>
      </c>
      <c r="H9" s="301">
        <v>0.84265279583875163</v>
      </c>
      <c r="I9" s="301">
        <v>0.73063583815028899</v>
      </c>
      <c r="J9" s="301">
        <v>0.90944881889763785</v>
      </c>
      <c r="K9" s="293">
        <v>0.60915492957746475</v>
      </c>
      <c r="L9" s="293">
        <v>1</v>
      </c>
      <c r="M9" s="293">
        <v>0.97790697674418603</v>
      </c>
      <c r="N9" s="293">
        <v>1</v>
      </c>
      <c r="Q9" s="283"/>
      <c r="R9" s="319" t="s">
        <v>628</v>
      </c>
      <c r="S9" s="326">
        <v>519</v>
      </c>
      <c r="T9" s="326" t="s">
        <v>656</v>
      </c>
      <c r="U9" s="326">
        <v>659</v>
      </c>
      <c r="V9" s="326">
        <v>508</v>
      </c>
      <c r="W9" s="326">
        <v>640</v>
      </c>
      <c r="X9" s="326">
        <v>567</v>
      </c>
      <c r="Y9" s="326">
        <v>573</v>
      </c>
      <c r="Z9" s="324">
        <v>461</v>
      </c>
      <c r="AA9" s="324">
        <v>444</v>
      </c>
      <c r="AB9" s="325" t="s">
        <v>656</v>
      </c>
      <c r="AC9" s="325" t="s">
        <v>672</v>
      </c>
    </row>
    <row r="10" spans="1:29" x14ac:dyDescent="0.3">
      <c r="A10" s="283"/>
      <c r="B10" s="284" t="s">
        <v>11</v>
      </c>
      <c r="C10" s="287" t="s">
        <v>132</v>
      </c>
      <c r="D10" s="301">
        <v>1.5892857142857142</v>
      </c>
      <c r="E10" s="302" t="s">
        <v>253</v>
      </c>
      <c r="F10" s="302" t="s">
        <v>253</v>
      </c>
      <c r="G10" s="301">
        <v>0.34074074074074073</v>
      </c>
      <c r="H10" s="301">
        <v>1.0364864864864864</v>
      </c>
      <c r="I10" s="301">
        <v>1.1529411764705881</v>
      </c>
      <c r="J10" s="301">
        <v>-0.75862068965517238</v>
      </c>
      <c r="K10" s="293">
        <v>568</v>
      </c>
      <c r="L10" s="293">
        <v>332</v>
      </c>
      <c r="M10" s="293">
        <v>860</v>
      </c>
      <c r="N10" s="309" t="s">
        <v>191</v>
      </c>
      <c r="Q10" s="283"/>
      <c r="R10" s="319" t="s">
        <v>629</v>
      </c>
      <c r="S10" s="326">
        <v>506</v>
      </c>
      <c r="T10" s="326">
        <v>676</v>
      </c>
      <c r="U10" s="327">
        <v>577</v>
      </c>
      <c r="V10" s="326">
        <v>503</v>
      </c>
      <c r="W10" s="326">
        <v>638</v>
      </c>
      <c r="X10" s="326">
        <v>551</v>
      </c>
      <c r="Y10" s="326">
        <v>539</v>
      </c>
      <c r="Z10" s="324">
        <v>434</v>
      </c>
      <c r="AA10" s="324">
        <v>439</v>
      </c>
      <c r="AB10" s="325">
        <v>701</v>
      </c>
      <c r="AC10" s="325">
        <v>721</v>
      </c>
    </row>
    <row r="11" spans="1:29" x14ac:dyDescent="0.3">
      <c r="A11" s="283"/>
      <c r="B11" s="284" t="s">
        <v>2</v>
      </c>
      <c r="C11" s="286" t="s">
        <v>3</v>
      </c>
      <c r="D11" s="301">
        <v>0.7</v>
      </c>
      <c r="E11" s="301">
        <v>0</v>
      </c>
      <c r="F11" s="301">
        <v>0.55128205128205132</v>
      </c>
      <c r="G11" s="301">
        <v>0.62790697674418605</v>
      </c>
      <c r="H11" s="301">
        <v>0.29838709677419356</v>
      </c>
      <c r="I11" s="301">
        <v>0.66233766233766234</v>
      </c>
      <c r="J11" s="301">
        <v>0.72499999999999998</v>
      </c>
      <c r="K11" s="293">
        <v>1.1458333333333333</v>
      </c>
      <c r="L11" s="293">
        <v>0</v>
      </c>
      <c r="M11" s="293">
        <v>0</v>
      </c>
      <c r="N11" s="293">
        <v>0</v>
      </c>
      <c r="Q11" s="283"/>
      <c r="R11" s="319" t="s">
        <v>630</v>
      </c>
      <c r="S11" s="326">
        <v>529</v>
      </c>
      <c r="T11" s="327">
        <v>763</v>
      </c>
      <c r="U11" s="326">
        <v>610</v>
      </c>
      <c r="V11" s="326">
        <v>523</v>
      </c>
      <c r="W11" s="326">
        <v>750</v>
      </c>
      <c r="X11" s="326">
        <v>570</v>
      </c>
      <c r="Y11" s="326">
        <v>575</v>
      </c>
      <c r="Z11" s="324">
        <v>550</v>
      </c>
      <c r="AA11" s="324">
        <v>528</v>
      </c>
      <c r="AB11" s="325">
        <v>715</v>
      </c>
      <c r="AC11" s="325">
        <v>791</v>
      </c>
    </row>
    <row r="12" spans="1:29" x14ac:dyDescent="0.3">
      <c r="A12" s="283"/>
      <c r="B12" s="284" t="s">
        <v>15</v>
      </c>
      <c r="C12" s="286" t="s">
        <v>16</v>
      </c>
      <c r="D12" s="301">
        <v>0.33750000000000002</v>
      </c>
      <c r="E12" s="301">
        <v>0</v>
      </c>
      <c r="F12" s="301">
        <v>0.66666666666666663</v>
      </c>
      <c r="G12" s="301">
        <v>0.18604651162790697</v>
      </c>
      <c r="H12" s="301">
        <v>0</v>
      </c>
      <c r="I12" s="301">
        <v>0.29870129870129869</v>
      </c>
      <c r="J12" s="301">
        <v>0.05</v>
      </c>
      <c r="K12" s="293">
        <v>0</v>
      </c>
      <c r="L12" s="293">
        <v>0</v>
      </c>
      <c r="M12" s="293">
        <v>0.20289855072463769</v>
      </c>
      <c r="N12" s="293">
        <v>2.3255813953488372E-2</v>
      </c>
      <c r="Q12" s="283"/>
      <c r="R12" s="319" t="s">
        <v>631</v>
      </c>
      <c r="S12" s="326">
        <v>683</v>
      </c>
      <c r="T12" s="326"/>
      <c r="U12" s="326">
        <v>727</v>
      </c>
      <c r="V12" s="326">
        <v>531</v>
      </c>
      <c r="W12" s="326">
        <v>798</v>
      </c>
      <c r="X12" s="326">
        <v>576</v>
      </c>
      <c r="Y12" s="326">
        <v>615</v>
      </c>
      <c r="Z12" s="324">
        <v>652</v>
      </c>
      <c r="AA12" s="324">
        <v>536</v>
      </c>
      <c r="AB12" s="325">
        <v>756</v>
      </c>
      <c r="AC12" s="325">
        <v>832</v>
      </c>
    </row>
    <row r="13" spans="1:29" x14ac:dyDescent="0.3">
      <c r="A13" s="283"/>
      <c r="B13" s="284" t="s">
        <v>17</v>
      </c>
      <c r="C13" s="286" t="s">
        <v>31</v>
      </c>
      <c r="D13" s="301">
        <v>0.20224719101123595</v>
      </c>
      <c r="E13" s="301">
        <v>0</v>
      </c>
      <c r="F13" s="301">
        <v>0</v>
      </c>
      <c r="G13" s="301">
        <v>8.3426028921023354E-2</v>
      </c>
      <c r="H13" s="301">
        <v>0.11755485893416928</v>
      </c>
      <c r="I13" s="301">
        <v>0.22558922558922559</v>
      </c>
      <c r="J13" s="301">
        <v>3.8636363636363635E-2</v>
      </c>
      <c r="K13" s="293">
        <v>0.17614424410540916</v>
      </c>
      <c r="L13" s="293">
        <v>0</v>
      </c>
      <c r="M13" s="309">
        <v>9.7613882863340565E-3</v>
      </c>
      <c r="N13" s="293">
        <v>0</v>
      </c>
      <c r="Q13" s="283"/>
      <c r="R13" s="319" t="s">
        <v>632</v>
      </c>
      <c r="S13" s="326">
        <v>704</v>
      </c>
      <c r="T13" s="326"/>
      <c r="U13" s="326"/>
      <c r="V13" s="326">
        <v>568</v>
      </c>
      <c r="W13" s="326">
        <v>818</v>
      </c>
      <c r="X13" s="326">
        <v>714</v>
      </c>
      <c r="Y13" s="326">
        <v>661</v>
      </c>
      <c r="Z13" s="324">
        <v>629</v>
      </c>
      <c r="AA13" s="324"/>
      <c r="AB13" s="325">
        <v>770</v>
      </c>
      <c r="AC13" s="325"/>
    </row>
    <row r="14" spans="1:29" x14ac:dyDescent="0.3">
      <c r="A14" s="283"/>
      <c r="B14" s="284" t="s">
        <v>18</v>
      </c>
      <c r="C14" s="286" t="s">
        <v>84</v>
      </c>
      <c r="D14" s="301">
        <v>44.5</v>
      </c>
      <c r="E14" s="301">
        <v>0</v>
      </c>
      <c r="F14" s="301">
        <v>0</v>
      </c>
      <c r="G14" s="301">
        <v>9.1999999999999993</v>
      </c>
      <c r="H14" s="301">
        <v>19.175000000000001</v>
      </c>
      <c r="I14" s="301">
        <v>29.4</v>
      </c>
      <c r="J14" s="301">
        <v>-22</v>
      </c>
      <c r="K14" s="293">
        <v>23</v>
      </c>
      <c r="L14" s="293">
        <v>0</v>
      </c>
      <c r="M14" s="309">
        <v>0</v>
      </c>
      <c r="N14" s="309">
        <v>0</v>
      </c>
      <c r="Q14" s="283"/>
      <c r="R14" s="319" t="s">
        <v>633</v>
      </c>
      <c r="S14" s="326">
        <v>698</v>
      </c>
      <c r="T14" s="326"/>
      <c r="U14" s="326"/>
      <c r="V14" s="326">
        <v>616</v>
      </c>
      <c r="W14" s="326"/>
      <c r="X14" s="326"/>
      <c r="Y14" s="326">
        <v>668</v>
      </c>
      <c r="Z14" s="324">
        <v>604</v>
      </c>
      <c r="AA14" s="324"/>
      <c r="AB14" s="325"/>
      <c r="AC14" s="325"/>
    </row>
    <row r="15" spans="1:29" x14ac:dyDescent="0.3">
      <c r="A15" s="283"/>
      <c r="B15" s="284"/>
      <c r="C15" s="286"/>
      <c r="D15" s="301"/>
      <c r="E15" s="301"/>
      <c r="F15" s="301"/>
      <c r="G15" s="301"/>
      <c r="H15" s="301"/>
      <c r="I15" s="301"/>
      <c r="J15" s="301"/>
      <c r="K15" s="293"/>
      <c r="L15" s="293"/>
      <c r="M15" s="309"/>
      <c r="N15" s="309"/>
      <c r="Q15" s="283"/>
      <c r="R15" s="319"/>
      <c r="S15" s="326"/>
      <c r="T15" s="326"/>
      <c r="U15" s="326"/>
      <c r="V15" s="326"/>
      <c r="W15" s="326"/>
      <c r="X15" s="326"/>
      <c r="Y15" s="326"/>
      <c r="Z15" s="324"/>
      <c r="AA15" s="324"/>
      <c r="AB15" s="325"/>
      <c r="AC15" s="325"/>
    </row>
    <row r="16" spans="1:29" x14ac:dyDescent="0.3">
      <c r="A16" s="283"/>
      <c r="B16" s="284" t="s">
        <v>14</v>
      </c>
      <c r="C16" s="287" t="s">
        <v>133</v>
      </c>
      <c r="D16" s="301">
        <v>177.35135135135135</v>
      </c>
      <c r="E16" s="302" t="s">
        <v>253</v>
      </c>
      <c r="F16" s="301">
        <v>0</v>
      </c>
      <c r="G16" s="301">
        <v>74.147368421052633</v>
      </c>
      <c r="H16" s="301">
        <v>51.5</v>
      </c>
      <c r="I16" s="301">
        <v>198.5185185185185</v>
      </c>
      <c r="J16" s="301">
        <v>34</v>
      </c>
      <c r="K16" s="293">
        <v>126.63829787234043</v>
      </c>
      <c r="L16" s="309" t="s">
        <v>191</v>
      </c>
      <c r="M16" s="309" t="s">
        <v>191</v>
      </c>
      <c r="N16" s="309" t="s">
        <v>191</v>
      </c>
      <c r="Q16" s="283"/>
      <c r="R16" s="319" t="s">
        <v>634</v>
      </c>
      <c r="S16" s="326">
        <v>667</v>
      </c>
      <c r="T16" s="326" t="s">
        <v>656</v>
      </c>
      <c r="U16" s="326" t="s">
        <v>656</v>
      </c>
      <c r="V16" s="326">
        <v>694</v>
      </c>
      <c r="W16" s="326">
        <v>514</v>
      </c>
      <c r="X16" s="326">
        <v>636</v>
      </c>
      <c r="Y16" s="326">
        <v>677</v>
      </c>
      <c r="Z16" s="324">
        <v>510</v>
      </c>
      <c r="AA16" s="328" t="s">
        <v>656</v>
      </c>
      <c r="AB16" s="329" t="s">
        <v>656</v>
      </c>
      <c r="AC16" s="329" t="s">
        <v>673</v>
      </c>
    </row>
    <row r="17" spans="1:29" x14ac:dyDescent="0.3">
      <c r="A17" s="283"/>
      <c r="B17" s="284" t="s">
        <v>85</v>
      </c>
      <c r="C17" s="287" t="s">
        <v>23</v>
      </c>
      <c r="D17" s="301">
        <v>0.31111111111111112</v>
      </c>
      <c r="E17" s="302" t="s">
        <v>253</v>
      </c>
      <c r="F17" s="303" t="s">
        <v>253</v>
      </c>
      <c r="G17" s="301">
        <v>0.72</v>
      </c>
      <c r="H17" s="301">
        <v>0.49333333333333335</v>
      </c>
      <c r="I17" s="301">
        <v>0.2537313432835821</v>
      </c>
      <c r="J17" s="301">
        <v>1.7058823529411764</v>
      </c>
      <c r="K17" s="293">
        <v>0.86614173228346458</v>
      </c>
      <c r="L17" s="309" t="s">
        <v>625</v>
      </c>
      <c r="M17" s="309">
        <v>0</v>
      </c>
      <c r="N17" s="309" t="s">
        <v>191</v>
      </c>
      <c r="Q17" s="283"/>
      <c r="R17" s="319" t="s">
        <v>635</v>
      </c>
      <c r="S17" s="326">
        <v>720</v>
      </c>
      <c r="T17" s="330" t="s">
        <v>656</v>
      </c>
      <c r="U17" s="331">
        <v>679</v>
      </c>
      <c r="V17" s="326">
        <v>713</v>
      </c>
      <c r="W17" s="326">
        <v>518</v>
      </c>
      <c r="X17" s="326">
        <v>719</v>
      </c>
      <c r="Y17" s="326">
        <v>677</v>
      </c>
      <c r="Z17" s="324">
        <v>570</v>
      </c>
      <c r="AA17" s="332">
        <v>599</v>
      </c>
      <c r="AB17" s="325" t="s">
        <v>656</v>
      </c>
      <c r="AC17" s="325" t="s">
        <v>674</v>
      </c>
    </row>
    <row r="18" spans="1:29" x14ac:dyDescent="0.3">
      <c r="A18" s="283"/>
      <c r="B18" s="284" t="s">
        <v>17</v>
      </c>
      <c r="C18" s="286" t="s">
        <v>31</v>
      </c>
      <c r="D18" s="301">
        <v>0.20224719101123595</v>
      </c>
      <c r="E18" s="301">
        <v>0</v>
      </c>
      <c r="F18" s="301">
        <v>0</v>
      </c>
      <c r="G18" s="301">
        <v>8.3426028921023354E-2</v>
      </c>
      <c r="H18" s="301">
        <v>0.11755485893416928</v>
      </c>
      <c r="I18" s="301">
        <v>0.22558922558922559</v>
      </c>
      <c r="J18" s="301">
        <v>3.8636363636363635E-2</v>
      </c>
      <c r="K18" s="293">
        <v>0.17614424410540916</v>
      </c>
      <c r="L18" s="309">
        <v>0</v>
      </c>
      <c r="M18" s="309">
        <v>9.7613882863340565E-3</v>
      </c>
      <c r="N18" s="309">
        <v>0</v>
      </c>
      <c r="Q18" s="283"/>
      <c r="R18" s="319" t="s">
        <v>636</v>
      </c>
      <c r="S18" s="326">
        <v>728</v>
      </c>
      <c r="T18" s="327">
        <v>745</v>
      </c>
      <c r="U18" s="326">
        <v>728</v>
      </c>
      <c r="V18" s="326">
        <v>721</v>
      </c>
      <c r="W18" s="326">
        <v>542</v>
      </c>
      <c r="X18" s="326">
        <v>735</v>
      </c>
      <c r="Y18" s="326">
        <v>710</v>
      </c>
      <c r="Z18" s="324">
        <v>615</v>
      </c>
      <c r="AA18" s="332">
        <v>641</v>
      </c>
      <c r="AB18" s="325">
        <v>768</v>
      </c>
      <c r="AC18" s="325">
        <v>750</v>
      </c>
    </row>
    <row r="19" spans="1:29" x14ac:dyDescent="0.3">
      <c r="A19" s="283"/>
      <c r="B19" s="284" t="s">
        <v>12</v>
      </c>
      <c r="C19" s="287" t="s">
        <v>13</v>
      </c>
      <c r="D19" s="301">
        <v>0.92783505154639179</v>
      </c>
      <c r="E19" s="302" t="s">
        <v>253</v>
      </c>
      <c r="F19" s="302" t="s">
        <v>253</v>
      </c>
      <c r="G19" s="301">
        <v>0.6</v>
      </c>
      <c r="H19" s="301">
        <v>1.6304347826086956</v>
      </c>
      <c r="I19" s="301">
        <v>6.28125</v>
      </c>
      <c r="J19" s="301">
        <v>0.97142857142857142</v>
      </c>
      <c r="K19" s="293">
        <v>1.1043478260869566</v>
      </c>
      <c r="L19" s="309" t="s">
        <v>625</v>
      </c>
      <c r="M19" s="309">
        <v>0.9</v>
      </c>
      <c r="N19" s="309" t="s">
        <v>191</v>
      </c>
      <c r="Q19" s="283"/>
      <c r="R19" s="319" t="s">
        <v>637</v>
      </c>
      <c r="S19" s="326">
        <v>743</v>
      </c>
      <c r="T19" s="326">
        <v>745</v>
      </c>
      <c r="U19" s="327">
        <v>771</v>
      </c>
      <c r="V19" s="326">
        <v>747</v>
      </c>
      <c r="W19" s="325">
        <v>589</v>
      </c>
      <c r="X19" s="326">
        <v>746</v>
      </c>
      <c r="Y19" s="326">
        <v>745</v>
      </c>
      <c r="Z19" s="324">
        <v>683</v>
      </c>
      <c r="AA19" s="332">
        <v>646</v>
      </c>
      <c r="AB19" s="325">
        <v>782</v>
      </c>
      <c r="AC19" s="325">
        <v>750</v>
      </c>
    </row>
    <row r="20" spans="1:29" x14ac:dyDescent="0.3">
      <c r="A20" s="283"/>
      <c r="B20" s="284" t="s">
        <v>19</v>
      </c>
      <c r="C20" s="287" t="s">
        <v>20</v>
      </c>
      <c r="D20" s="301">
        <v>-120</v>
      </c>
      <c r="E20" s="302" t="s">
        <v>253</v>
      </c>
      <c r="F20" s="301">
        <v>82</v>
      </c>
      <c r="G20" s="301">
        <v>-18</v>
      </c>
      <c r="H20" s="301">
        <v>-59</v>
      </c>
      <c r="I20" s="301">
        <v>-150</v>
      </c>
      <c r="J20" s="301">
        <v>13</v>
      </c>
      <c r="K20" s="293">
        <v>-33</v>
      </c>
      <c r="L20" s="309">
        <v>0</v>
      </c>
      <c r="M20" s="293">
        <v>-9</v>
      </c>
      <c r="N20" s="309" t="s">
        <v>191</v>
      </c>
      <c r="Q20" s="283"/>
      <c r="R20" s="319" t="s">
        <v>638</v>
      </c>
      <c r="S20" s="326">
        <v>719</v>
      </c>
      <c r="T20" s="327"/>
      <c r="U20" s="326">
        <v>719</v>
      </c>
      <c r="V20" s="326">
        <v>748</v>
      </c>
      <c r="W20" s="326">
        <v>552</v>
      </c>
      <c r="X20" s="326">
        <v>745</v>
      </c>
      <c r="Y20" s="326">
        <v>741</v>
      </c>
      <c r="Z20" s="324">
        <v>615</v>
      </c>
      <c r="AA20" s="332">
        <v>581</v>
      </c>
      <c r="AB20" s="325">
        <v>782</v>
      </c>
      <c r="AC20" s="325">
        <v>737</v>
      </c>
    </row>
    <row r="21" spans="1:29" x14ac:dyDescent="0.3">
      <c r="A21" s="283"/>
      <c r="B21" s="284" t="s">
        <v>21</v>
      </c>
      <c r="C21" s="287" t="s">
        <v>22</v>
      </c>
      <c r="D21" s="301">
        <v>0.5161290322580645</v>
      </c>
      <c r="E21" s="302" t="s">
        <v>253</v>
      </c>
      <c r="F21" s="301">
        <v>0.46739130434782611</v>
      </c>
      <c r="G21" s="301">
        <v>0.46153846153846156</v>
      </c>
      <c r="H21" s="301">
        <v>0.54411764705882348</v>
      </c>
      <c r="I21" s="301">
        <v>0.46363636363636362</v>
      </c>
      <c r="J21" s="301">
        <v>1</v>
      </c>
      <c r="K21" s="293">
        <v>0.58510638297872342</v>
      </c>
      <c r="L21" s="309" t="s">
        <v>626</v>
      </c>
      <c r="M21" s="309" t="s">
        <v>191</v>
      </c>
      <c r="N21" s="309" t="s">
        <v>191</v>
      </c>
      <c r="Q21" s="283"/>
      <c r="R21" s="319" t="s">
        <v>639</v>
      </c>
      <c r="S21" s="326">
        <v>698</v>
      </c>
      <c r="T21" s="327"/>
      <c r="U21" s="326"/>
      <c r="V21" s="326">
        <v>743</v>
      </c>
      <c r="W21" s="326">
        <v>468</v>
      </c>
      <c r="X21" s="326">
        <v>723</v>
      </c>
      <c r="Y21" s="326">
        <v>745</v>
      </c>
      <c r="Z21" s="324">
        <v>570</v>
      </c>
      <c r="AA21" s="332"/>
      <c r="AB21" s="325">
        <v>768</v>
      </c>
      <c r="AC21" s="325"/>
    </row>
    <row r="22" spans="1:29" x14ac:dyDescent="0.3">
      <c r="A22" s="283"/>
      <c r="B22" s="284" t="s">
        <v>2</v>
      </c>
      <c r="C22" s="286" t="s">
        <v>3</v>
      </c>
      <c r="D22" s="301">
        <v>0.7</v>
      </c>
      <c r="E22" s="301">
        <v>0</v>
      </c>
      <c r="F22" s="301">
        <v>0.55128205128205132</v>
      </c>
      <c r="G22" s="301">
        <v>0.62790697674418605</v>
      </c>
      <c r="H22" s="301">
        <v>0.29838709677419356</v>
      </c>
      <c r="I22" s="301">
        <v>0.66233766233766234</v>
      </c>
      <c r="J22" s="301">
        <v>0.72499999999999998</v>
      </c>
      <c r="K22" s="293">
        <v>1.1458333333333333</v>
      </c>
      <c r="L22" s="293">
        <v>0</v>
      </c>
      <c r="M22" s="293">
        <v>0</v>
      </c>
      <c r="N22" s="293">
        <v>0</v>
      </c>
      <c r="Q22" s="283"/>
      <c r="R22" s="319" t="s">
        <v>640</v>
      </c>
      <c r="S22" s="326">
        <v>669</v>
      </c>
      <c r="T22" s="327"/>
      <c r="U22" s="326"/>
      <c r="V22" s="326">
        <v>745</v>
      </c>
      <c r="W22" s="326"/>
      <c r="X22" s="326"/>
      <c r="Y22" s="326">
        <v>746</v>
      </c>
      <c r="Z22" s="324">
        <v>495</v>
      </c>
      <c r="AA22" s="324"/>
      <c r="AB22" s="325"/>
      <c r="AC22" s="325"/>
    </row>
    <row r="23" spans="1:29" x14ac:dyDescent="0.3">
      <c r="A23" s="283"/>
      <c r="B23" s="284"/>
      <c r="C23" s="286"/>
      <c r="D23" s="301"/>
      <c r="E23" s="301"/>
      <c r="F23" s="301"/>
      <c r="G23" s="301"/>
      <c r="H23" s="301"/>
      <c r="I23" s="301"/>
      <c r="J23" s="301"/>
      <c r="K23" s="293"/>
      <c r="L23" s="293"/>
      <c r="M23" s="293"/>
      <c r="N23" s="293"/>
      <c r="Q23" s="283"/>
      <c r="R23" s="319" t="s">
        <v>709</v>
      </c>
      <c r="S23" s="326">
        <v>8</v>
      </c>
      <c r="T23" s="327">
        <v>5</v>
      </c>
      <c r="U23" s="326">
        <v>6</v>
      </c>
      <c r="V23" s="326">
        <v>8</v>
      </c>
      <c r="W23" s="326">
        <v>7</v>
      </c>
      <c r="X23" s="326">
        <v>7</v>
      </c>
      <c r="Y23" s="326">
        <v>8</v>
      </c>
      <c r="Z23" s="324">
        <v>8</v>
      </c>
      <c r="AA23" s="324">
        <v>6</v>
      </c>
      <c r="AB23" s="325">
        <v>7</v>
      </c>
      <c r="AC23" s="325">
        <v>6</v>
      </c>
    </row>
    <row r="24" spans="1:29" x14ac:dyDescent="0.3">
      <c r="A24" s="283"/>
      <c r="B24" s="284"/>
      <c r="C24" s="286"/>
      <c r="D24" s="301"/>
      <c r="E24" s="301"/>
      <c r="F24" s="301"/>
      <c r="G24" s="301"/>
      <c r="H24" s="301"/>
      <c r="I24" s="301"/>
      <c r="J24" s="301"/>
      <c r="K24" s="293"/>
      <c r="L24" s="293"/>
      <c r="M24" s="293"/>
      <c r="N24" s="293"/>
      <c r="Q24" s="283"/>
      <c r="R24" s="319"/>
      <c r="S24" s="326"/>
      <c r="T24" s="327"/>
      <c r="U24" s="326"/>
      <c r="V24" s="326"/>
      <c r="W24" s="326"/>
      <c r="X24" s="326"/>
      <c r="Y24" s="326"/>
      <c r="Z24" s="324"/>
      <c r="AA24" s="324"/>
      <c r="AB24" s="325"/>
      <c r="AC24" s="325"/>
    </row>
    <row r="25" spans="1:29" x14ac:dyDescent="0.3">
      <c r="A25" s="283"/>
      <c r="B25" s="284"/>
      <c r="C25" s="286"/>
      <c r="D25" s="301"/>
      <c r="E25" s="301"/>
      <c r="F25" s="301"/>
      <c r="G25" s="301"/>
      <c r="H25" s="301"/>
      <c r="I25" s="301"/>
      <c r="J25" s="301"/>
      <c r="K25" s="293"/>
      <c r="L25" s="293"/>
      <c r="M25" s="293"/>
      <c r="N25" s="293"/>
      <c r="P25" s="282" t="s">
        <v>666</v>
      </c>
      <c r="Q25" s="283"/>
      <c r="R25" s="319" t="s">
        <v>660</v>
      </c>
      <c r="S25" s="326"/>
      <c r="T25" s="327"/>
      <c r="U25" s="326"/>
      <c r="V25" s="326"/>
      <c r="W25" s="326">
        <v>708</v>
      </c>
      <c r="X25" s="326"/>
      <c r="Y25" s="326">
        <v>554</v>
      </c>
      <c r="Z25" s="324">
        <v>493</v>
      </c>
      <c r="AA25" s="324"/>
      <c r="AB25" s="325"/>
      <c r="AC25" s="325"/>
    </row>
    <row r="26" spans="1:29" x14ac:dyDescent="0.3">
      <c r="A26" s="283"/>
      <c r="B26" s="284"/>
      <c r="C26" s="286"/>
      <c r="D26" s="301"/>
      <c r="E26" s="301"/>
      <c r="F26" s="301"/>
      <c r="G26" s="301"/>
      <c r="H26" s="301"/>
      <c r="I26" s="301"/>
      <c r="J26" s="301"/>
      <c r="K26" s="293"/>
      <c r="L26" s="293"/>
      <c r="M26" s="293"/>
      <c r="N26" s="293"/>
      <c r="P26" s="282" t="s">
        <v>665</v>
      </c>
      <c r="Q26" s="283"/>
      <c r="R26" s="319" t="s">
        <v>661</v>
      </c>
      <c r="S26" s="326"/>
      <c r="T26" s="327"/>
      <c r="U26" s="326"/>
      <c r="V26" s="326"/>
      <c r="W26" s="326">
        <v>589</v>
      </c>
      <c r="X26" s="326"/>
      <c r="Y26" s="326">
        <v>745</v>
      </c>
      <c r="Z26" s="324">
        <v>683</v>
      </c>
      <c r="AA26" s="324"/>
      <c r="AB26" s="325"/>
      <c r="AC26" s="325"/>
    </row>
    <row r="27" spans="1:29" x14ac:dyDescent="0.3">
      <c r="A27" s="283"/>
      <c r="B27" s="284"/>
      <c r="C27" s="286"/>
      <c r="D27" s="301"/>
      <c r="E27" s="301"/>
      <c r="F27" s="301"/>
      <c r="G27" s="301"/>
      <c r="H27" s="301"/>
      <c r="I27" s="301"/>
      <c r="J27" s="301"/>
      <c r="K27" s="293"/>
      <c r="L27" s="293"/>
      <c r="M27" s="293"/>
      <c r="N27" s="293"/>
      <c r="P27" s="282" t="s">
        <v>668</v>
      </c>
      <c r="Q27" s="283"/>
      <c r="R27" s="319" t="s">
        <v>662</v>
      </c>
      <c r="S27" s="326"/>
      <c r="T27" s="327"/>
      <c r="U27" s="326"/>
      <c r="V27" s="326"/>
      <c r="W27" s="326">
        <v>640</v>
      </c>
      <c r="X27" s="326"/>
      <c r="Y27" s="326">
        <v>554</v>
      </c>
      <c r="Z27" s="324">
        <v>444</v>
      </c>
      <c r="AA27" s="324"/>
      <c r="AB27" s="325"/>
      <c r="AC27" s="325"/>
    </row>
    <row r="28" spans="1:29" x14ac:dyDescent="0.3">
      <c r="A28" s="283"/>
      <c r="B28" s="284"/>
      <c r="C28" s="286"/>
      <c r="D28" s="301"/>
      <c r="E28" s="301"/>
      <c r="F28" s="301"/>
      <c r="G28" s="301"/>
      <c r="H28" s="301"/>
      <c r="I28" s="301"/>
      <c r="J28" s="301"/>
      <c r="K28" s="293"/>
      <c r="L28" s="293"/>
      <c r="M28" s="293"/>
      <c r="N28" s="293"/>
      <c r="P28" s="282" t="s">
        <v>669</v>
      </c>
      <c r="Q28" s="283"/>
      <c r="R28" s="319" t="s">
        <v>663</v>
      </c>
      <c r="S28" s="326"/>
      <c r="T28" s="327"/>
      <c r="U28" s="326"/>
      <c r="V28" s="326"/>
      <c r="W28" s="326">
        <v>518</v>
      </c>
      <c r="X28" s="326"/>
      <c r="Y28" s="326">
        <v>677</v>
      </c>
      <c r="Z28" s="324">
        <v>582</v>
      </c>
      <c r="AA28" s="324"/>
      <c r="AB28" s="325"/>
      <c r="AC28" s="325"/>
    </row>
    <row r="29" spans="1:29" x14ac:dyDescent="0.3">
      <c r="A29" s="283"/>
      <c r="B29" s="284"/>
      <c r="C29" s="286"/>
      <c r="D29" s="301"/>
      <c r="E29" s="301"/>
      <c r="F29" s="301"/>
      <c r="G29" s="301"/>
      <c r="H29" s="301"/>
      <c r="I29" s="301"/>
      <c r="J29" s="301"/>
      <c r="K29" s="293"/>
      <c r="L29" s="293"/>
      <c r="M29" s="293"/>
      <c r="N29" s="293"/>
      <c r="Q29" s="283"/>
      <c r="R29" s="319" t="s">
        <v>645</v>
      </c>
      <c r="S29" s="326"/>
      <c r="T29" s="327"/>
      <c r="U29" s="326"/>
      <c r="V29" s="326"/>
      <c r="W29" s="326">
        <f>W25-W10</f>
        <v>70</v>
      </c>
      <c r="X29" s="326"/>
      <c r="Y29" s="326">
        <f>Y25-Y10</f>
        <v>15</v>
      </c>
      <c r="Z29" s="326">
        <f>Z25-Z10</f>
        <v>59</v>
      </c>
      <c r="AA29" s="324"/>
      <c r="AB29" s="325"/>
      <c r="AC29" s="325"/>
    </row>
    <row r="30" spans="1:29" x14ac:dyDescent="0.3">
      <c r="A30" s="283"/>
      <c r="B30" s="284"/>
      <c r="C30" s="286"/>
      <c r="D30" s="301"/>
      <c r="E30" s="301"/>
      <c r="F30" s="301"/>
      <c r="G30" s="301"/>
      <c r="H30" s="301"/>
      <c r="I30" s="301"/>
      <c r="J30" s="301"/>
      <c r="K30" s="293"/>
      <c r="L30" s="293"/>
      <c r="M30" s="293"/>
      <c r="N30" s="293"/>
      <c r="Q30" s="283"/>
      <c r="R30" s="319" t="s">
        <v>646</v>
      </c>
      <c r="S30" s="326"/>
      <c r="T30" s="327"/>
      <c r="U30" s="326"/>
      <c r="V30" s="326"/>
      <c r="W30" s="326">
        <f>W26-W18</f>
        <v>47</v>
      </c>
      <c r="X30" s="326"/>
      <c r="Y30" s="326">
        <f>Y26-Y18</f>
        <v>35</v>
      </c>
      <c r="Z30" s="326">
        <f>Z26-Z18</f>
        <v>68</v>
      </c>
      <c r="AA30" s="324"/>
      <c r="AB30" s="325"/>
      <c r="AC30" s="325"/>
    </row>
    <row r="31" spans="1:29" x14ac:dyDescent="0.3">
      <c r="A31" s="283"/>
      <c r="B31" s="284"/>
      <c r="C31" s="286"/>
      <c r="D31" s="301"/>
      <c r="E31" s="301"/>
      <c r="F31" s="301"/>
      <c r="G31" s="301"/>
      <c r="H31" s="301"/>
      <c r="I31" s="301"/>
      <c r="J31" s="301"/>
      <c r="K31" s="293"/>
      <c r="L31" s="293"/>
      <c r="M31" s="293"/>
      <c r="N31" s="293"/>
      <c r="Q31" s="283"/>
      <c r="R31" s="319" t="s">
        <v>647</v>
      </c>
      <c r="S31" s="326"/>
      <c r="T31" s="327"/>
      <c r="U31" s="326"/>
      <c r="V31" s="326"/>
      <c r="W31" s="326">
        <f>W27-W10</f>
        <v>2</v>
      </c>
      <c r="X31" s="326"/>
      <c r="Y31" s="326">
        <f>Y27-Y10</f>
        <v>15</v>
      </c>
      <c r="Z31" s="326">
        <f>Z27-Z10</f>
        <v>10</v>
      </c>
      <c r="AA31" s="324"/>
      <c r="AB31" s="325"/>
      <c r="AC31" s="325"/>
    </row>
    <row r="32" spans="1:29" x14ac:dyDescent="0.3">
      <c r="A32" s="283"/>
      <c r="B32" s="284"/>
      <c r="C32" s="286"/>
      <c r="D32" s="301"/>
      <c r="E32" s="301"/>
      <c r="F32" s="301"/>
      <c r="G32" s="301"/>
      <c r="H32" s="301"/>
      <c r="I32" s="301"/>
      <c r="J32" s="301"/>
      <c r="K32" s="293"/>
      <c r="L32" s="293"/>
      <c r="M32" s="293"/>
      <c r="N32" s="293"/>
      <c r="Q32" s="283"/>
      <c r="R32" s="319" t="s">
        <v>648</v>
      </c>
      <c r="S32" s="326"/>
      <c r="T32" s="327"/>
      <c r="U32" s="326"/>
      <c r="V32" s="326"/>
      <c r="W32" s="326">
        <f>W28-W18</f>
        <v>-24</v>
      </c>
      <c r="X32" s="326"/>
      <c r="Y32" s="326">
        <f>Y28-Y18</f>
        <v>-33</v>
      </c>
      <c r="Z32" s="326">
        <f>Z28-Z18</f>
        <v>-33</v>
      </c>
      <c r="AA32" s="324"/>
      <c r="AB32" s="325"/>
      <c r="AC32" s="325"/>
    </row>
    <row r="33" spans="1:29" x14ac:dyDescent="0.3">
      <c r="A33" s="283"/>
      <c r="B33" s="284"/>
      <c r="C33" s="286"/>
      <c r="D33" s="301"/>
      <c r="E33" s="301"/>
      <c r="F33" s="301"/>
      <c r="G33" s="301"/>
      <c r="H33" s="301"/>
      <c r="I33" s="301"/>
      <c r="J33" s="301"/>
      <c r="K33" s="293"/>
      <c r="L33" s="293"/>
      <c r="M33" s="293"/>
      <c r="N33" s="293"/>
      <c r="Q33" s="283"/>
      <c r="R33" s="319" t="s">
        <v>650</v>
      </c>
      <c r="S33" s="326"/>
      <c r="T33" s="327"/>
      <c r="U33" s="326"/>
      <c r="V33" s="326"/>
      <c r="W33" s="326">
        <f>W29*W31+W30*W32</f>
        <v>-988</v>
      </c>
      <c r="X33" s="326"/>
      <c r="Y33" s="326">
        <f>Y29*Y31+Y30*Y32</f>
        <v>-930</v>
      </c>
      <c r="Z33" s="326">
        <f>Z29*Z31+Z30*Z32</f>
        <v>-1654</v>
      </c>
      <c r="AA33" s="324"/>
      <c r="AB33" s="325"/>
      <c r="AC33" s="325"/>
    </row>
    <row r="34" spans="1:29" x14ac:dyDescent="0.3">
      <c r="A34" s="283"/>
      <c r="B34" s="284"/>
      <c r="C34" s="286"/>
      <c r="D34" s="301"/>
      <c r="E34" s="301"/>
      <c r="F34" s="301"/>
      <c r="G34" s="301"/>
      <c r="H34" s="301"/>
      <c r="I34" s="301"/>
      <c r="J34" s="301"/>
      <c r="K34" s="293"/>
      <c r="L34" s="293"/>
      <c r="M34" s="293"/>
      <c r="N34" s="293"/>
      <c r="Q34" s="283"/>
      <c r="R34" s="319" t="s">
        <v>651</v>
      </c>
      <c r="S34" s="326"/>
      <c r="T34" s="327"/>
      <c r="U34" s="326"/>
      <c r="V34" s="326"/>
      <c r="W34" s="326">
        <f>SQRT(W29^2*W30^2)+SQRT(W31^2*W32^2)</f>
        <v>3338</v>
      </c>
      <c r="X34" s="326"/>
      <c r="Y34" s="326">
        <f>SQRT(Y29^2*Y30^2)+SQRT(Y31^2*Y32^2)</f>
        <v>1020</v>
      </c>
      <c r="Z34" s="326">
        <f>SQRT(Z29^2*Z30^2)+SQRT(Z31^2*Z32^2)</f>
        <v>4342</v>
      </c>
      <c r="AA34" s="324"/>
      <c r="AB34" s="325"/>
      <c r="AC34" s="325"/>
    </row>
    <row r="35" spans="1:29" x14ac:dyDescent="0.3">
      <c r="A35" s="283"/>
      <c r="B35" s="284"/>
      <c r="C35" s="286"/>
      <c r="D35" s="301"/>
      <c r="E35" s="301"/>
      <c r="F35" s="301"/>
      <c r="G35" s="301"/>
      <c r="H35" s="301"/>
      <c r="I35" s="301"/>
      <c r="J35" s="301"/>
      <c r="K35" s="293"/>
      <c r="L35" s="293"/>
      <c r="M35" s="293"/>
      <c r="N35" s="293"/>
      <c r="Q35" s="283"/>
      <c r="R35" s="319" t="s">
        <v>649</v>
      </c>
      <c r="S35" s="326"/>
      <c r="T35" s="327"/>
      <c r="U35" s="326"/>
      <c r="V35" s="326"/>
      <c r="W35" s="326">
        <f>DEGREES(ACOS(W33/W34))</f>
        <v>107.21664887501865</v>
      </c>
      <c r="X35" s="326"/>
      <c r="Y35" s="326">
        <f>DEGREES(ACOS(Y33/Y34))</f>
        <v>155.75037139749477</v>
      </c>
      <c r="Z35" s="326">
        <f>DEGREES(ACOS(Z33/Z34))</f>
        <v>112.39132858460302</v>
      </c>
      <c r="AA35" s="324"/>
      <c r="AB35" s="325"/>
      <c r="AC35" s="325"/>
    </row>
    <row r="36" spans="1:29" x14ac:dyDescent="0.3">
      <c r="A36" s="283"/>
      <c r="B36" s="284"/>
      <c r="C36" s="286"/>
      <c r="D36" s="301"/>
      <c r="E36" s="301"/>
      <c r="F36" s="301"/>
      <c r="G36" s="301"/>
      <c r="H36" s="301"/>
      <c r="I36" s="301"/>
      <c r="J36" s="301"/>
      <c r="K36" s="293"/>
      <c r="L36" s="293"/>
      <c r="M36" s="293"/>
      <c r="N36" s="293"/>
      <c r="Q36" s="283"/>
      <c r="R36" s="319"/>
      <c r="S36" s="326"/>
      <c r="T36" s="327"/>
      <c r="U36" s="326"/>
      <c r="V36" s="326"/>
      <c r="W36" s="326"/>
      <c r="X36" s="326"/>
      <c r="Y36" s="326"/>
      <c r="Z36" s="324"/>
      <c r="AA36" s="324"/>
      <c r="AB36" s="325"/>
      <c r="AC36" s="325"/>
    </row>
    <row r="37" spans="1:29" x14ac:dyDescent="0.3">
      <c r="A37" s="283"/>
      <c r="B37" s="284"/>
      <c r="C37" s="286"/>
      <c r="D37" s="301"/>
      <c r="E37" s="301"/>
      <c r="F37" s="301"/>
      <c r="G37" s="301"/>
      <c r="H37" s="301"/>
      <c r="I37" s="301"/>
      <c r="J37" s="301"/>
      <c r="K37" s="293"/>
      <c r="L37" s="293"/>
      <c r="N37" s="293"/>
      <c r="P37" s="282" t="s">
        <v>664</v>
      </c>
      <c r="Q37" s="283"/>
      <c r="R37" s="319" t="s">
        <v>645</v>
      </c>
      <c r="S37" s="326">
        <f>S9-S10</f>
        <v>13</v>
      </c>
      <c r="T37" s="326"/>
      <c r="U37" s="326">
        <f>U9-U10</f>
        <v>82</v>
      </c>
      <c r="V37" s="326">
        <f>V9-V10</f>
        <v>5</v>
      </c>
      <c r="W37" s="326"/>
      <c r="X37" s="326">
        <f>X9-X10</f>
        <v>16</v>
      </c>
      <c r="Y37" s="326"/>
      <c r="Z37" s="324"/>
      <c r="AA37" s="326">
        <f>AA9-AA10</f>
        <v>5</v>
      </c>
      <c r="AB37" s="326">
        <v>0</v>
      </c>
      <c r="AC37" s="326"/>
    </row>
    <row r="38" spans="1:29" x14ac:dyDescent="0.3">
      <c r="A38" s="283"/>
      <c r="B38" s="284"/>
      <c r="C38" s="286"/>
      <c r="D38" s="301"/>
      <c r="E38" s="301"/>
      <c r="F38" s="301"/>
      <c r="G38" s="301"/>
      <c r="H38" s="301"/>
      <c r="I38" s="301"/>
      <c r="J38" s="301"/>
      <c r="K38" s="293"/>
      <c r="L38" s="293"/>
      <c r="M38" s="293"/>
      <c r="N38" s="293"/>
      <c r="Q38" s="283"/>
      <c r="R38" s="319" t="s">
        <v>646</v>
      </c>
      <c r="S38" s="326">
        <f>S17-S18</f>
        <v>-8</v>
      </c>
      <c r="T38" s="326"/>
      <c r="U38" s="326">
        <f>U17-U18</f>
        <v>-49</v>
      </c>
      <c r="V38" s="326">
        <f>V17-V18</f>
        <v>-8</v>
      </c>
      <c r="W38" s="326"/>
      <c r="X38" s="326">
        <f>X17-X18</f>
        <v>-16</v>
      </c>
      <c r="Y38" s="326"/>
      <c r="Z38" s="324"/>
      <c r="AA38" s="326">
        <f>AA17-AA18</f>
        <v>-42</v>
      </c>
      <c r="AB38" s="326">
        <v>0</v>
      </c>
      <c r="AC38" s="326"/>
    </row>
    <row r="39" spans="1:29" x14ac:dyDescent="0.3">
      <c r="A39" s="283"/>
      <c r="B39" s="284"/>
      <c r="C39" s="286"/>
      <c r="D39" s="301"/>
      <c r="E39" s="301"/>
      <c r="F39" s="301"/>
      <c r="G39" s="301"/>
      <c r="H39" s="301"/>
      <c r="I39" s="301"/>
      <c r="J39" s="301"/>
      <c r="K39" s="293"/>
      <c r="L39" s="293"/>
      <c r="M39" s="293"/>
      <c r="N39" s="293"/>
      <c r="Q39" s="283"/>
      <c r="R39" s="319" t="s">
        <v>647</v>
      </c>
      <c r="S39" s="326">
        <f>S11-S10</f>
        <v>23</v>
      </c>
      <c r="T39" s="326"/>
      <c r="U39" s="326">
        <f>U11-U10</f>
        <v>33</v>
      </c>
      <c r="V39" s="326">
        <f>V11-V10</f>
        <v>20</v>
      </c>
      <c r="W39" s="326"/>
      <c r="X39" s="326">
        <f>X11-X10</f>
        <v>19</v>
      </c>
      <c r="Y39" s="326"/>
      <c r="Z39" s="324"/>
      <c r="AA39" s="326">
        <f>AA11-AA10</f>
        <v>89</v>
      </c>
      <c r="AB39" s="326">
        <f>AB11-AB10</f>
        <v>14</v>
      </c>
      <c r="AC39" s="326"/>
    </row>
    <row r="40" spans="1:29" x14ac:dyDescent="0.3">
      <c r="A40" s="283"/>
      <c r="B40" s="284"/>
      <c r="C40" s="286"/>
      <c r="D40" s="301"/>
      <c r="E40" s="301"/>
      <c r="F40" s="301"/>
      <c r="G40" s="301"/>
      <c r="H40" s="301"/>
      <c r="I40" s="301"/>
      <c r="J40" s="301"/>
      <c r="K40" s="293"/>
      <c r="L40" s="293"/>
      <c r="M40" s="293"/>
      <c r="N40" s="293"/>
      <c r="Q40" s="283"/>
      <c r="R40" s="319" t="s">
        <v>648</v>
      </c>
      <c r="S40" s="326">
        <f>S19-S18</f>
        <v>15</v>
      </c>
      <c r="T40" s="326"/>
      <c r="U40" s="326">
        <f>U19-U18</f>
        <v>43</v>
      </c>
      <c r="V40" s="326">
        <f>V19-V18</f>
        <v>26</v>
      </c>
      <c r="W40" s="326"/>
      <c r="X40" s="326">
        <f>X19-X18</f>
        <v>11</v>
      </c>
      <c r="Y40" s="326"/>
      <c r="Z40" s="324"/>
      <c r="AA40" s="326">
        <f>AA19-AA18</f>
        <v>5</v>
      </c>
      <c r="AB40" s="326">
        <f>AB19-AB18</f>
        <v>14</v>
      </c>
      <c r="AC40" s="326"/>
    </row>
    <row r="41" spans="1:29" x14ac:dyDescent="0.3">
      <c r="A41" s="283"/>
      <c r="B41" s="284"/>
      <c r="C41" s="286"/>
      <c r="D41" s="301"/>
      <c r="E41" s="301"/>
      <c r="F41" s="301"/>
      <c r="G41" s="301"/>
      <c r="H41" s="301"/>
      <c r="I41" s="301"/>
      <c r="J41" s="301"/>
      <c r="K41" s="293"/>
      <c r="L41" s="293"/>
      <c r="M41" s="293"/>
      <c r="N41" s="293"/>
      <c r="Q41" s="283"/>
      <c r="R41" s="319" t="s">
        <v>650</v>
      </c>
      <c r="S41" s="326">
        <f>S37*S39+S38*S40</f>
        <v>179</v>
      </c>
      <c r="T41" s="326"/>
      <c r="U41" s="326">
        <f>U37*U39+U38*U40</f>
        <v>599</v>
      </c>
      <c r="V41" s="326">
        <f>V37*V39+V38*V40</f>
        <v>-108</v>
      </c>
      <c r="W41" s="326"/>
      <c r="X41" s="326">
        <f>X37*X39+X38*X40</f>
        <v>128</v>
      </c>
      <c r="Y41" s="326"/>
      <c r="Z41" s="324"/>
      <c r="AA41" s="326">
        <f>AA37*AA39+AA38*AA40</f>
        <v>235</v>
      </c>
      <c r="AB41" s="326">
        <f>AB37*AB39+AB38*AB40</f>
        <v>0</v>
      </c>
      <c r="AC41" s="326"/>
    </row>
    <row r="42" spans="1:29" x14ac:dyDescent="0.3">
      <c r="A42" s="283"/>
      <c r="B42" s="284"/>
      <c r="C42" s="286"/>
      <c r="D42" s="301"/>
      <c r="E42" s="301"/>
      <c r="F42" s="301"/>
      <c r="G42" s="301"/>
      <c r="H42" s="301"/>
      <c r="I42" s="301"/>
      <c r="J42" s="301"/>
      <c r="K42" s="293"/>
      <c r="L42" s="293"/>
      <c r="M42" s="293"/>
      <c r="N42" s="293"/>
      <c r="Q42" s="283"/>
      <c r="R42" s="319" t="s">
        <v>651</v>
      </c>
      <c r="S42" s="326">
        <f>SQRT(S37^2*S38^2)+SQRT(S39^2*S40^2)</f>
        <v>449</v>
      </c>
      <c r="T42" s="326"/>
      <c r="U42" s="326">
        <f>SQRT(U37^2*U38^2)+SQRT(U39^2*U40^2)</f>
        <v>5437</v>
      </c>
      <c r="V42" s="326">
        <f>SQRT(V37^2*V38^2)+SQRT(V39^2*V40^2)</f>
        <v>560</v>
      </c>
      <c r="W42" s="326"/>
      <c r="X42" s="326">
        <f>SQRT(X37^2*X38^2)+SQRT(X39^2*X40^2)</f>
        <v>465</v>
      </c>
      <c r="Y42" s="326"/>
      <c r="Z42" s="324"/>
      <c r="AA42" s="326">
        <f>SQRT(AA37^2*AA38^2)+SQRT(AA39^2*AA40^2)</f>
        <v>655</v>
      </c>
      <c r="AB42" s="326">
        <f>SQRT(AB37^2*AB38^2)+SQRT(AB39^2*AB40^2)</f>
        <v>196</v>
      </c>
      <c r="AC42" s="326"/>
    </row>
    <row r="43" spans="1:29" x14ac:dyDescent="0.3">
      <c r="A43" s="283"/>
      <c r="B43" s="284"/>
      <c r="C43" s="286"/>
      <c r="D43" s="301"/>
      <c r="E43" s="301"/>
      <c r="F43" s="301"/>
      <c r="G43" s="301"/>
      <c r="H43" s="301"/>
      <c r="I43" s="301"/>
      <c r="J43" s="301"/>
      <c r="K43" s="293"/>
      <c r="L43" s="293"/>
      <c r="M43" s="293"/>
      <c r="N43" s="293"/>
      <c r="Q43" s="283"/>
      <c r="R43" s="319" t="s">
        <v>649</v>
      </c>
      <c r="S43" s="326">
        <f>DEGREES(ACOS(S41/S42))</f>
        <v>66.505333724755644</v>
      </c>
      <c r="T43" s="326">
        <v>90</v>
      </c>
      <c r="U43" s="326">
        <f>DEGREES(ACOS(U41/U42))</f>
        <v>83.674824045168677</v>
      </c>
      <c r="V43" s="326">
        <f>DEGREES(ACOS(V41/V42))</f>
        <v>101.11957095345271</v>
      </c>
      <c r="W43" s="326"/>
      <c r="X43" s="326">
        <f>DEGREES(ACOS(X41/X42))</f>
        <v>74.021965451392362</v>
      </c>
      <c r="Y43" s="326"/>
      <c r="Z43" s="324"/>
      <c r="AA43" s="326">
        <f>DEGREES(ACOS(AA41/AA42))</f>
        <v>68.974793802401891</v>
      </c>
      <c r="AB43" s="326">
        <f>DEGREES(ACOS(AB41/AB42))</f>
        <v>90</v>
      </c>
      <c r="AC43" s="326">
        <v>90</v>
      </c>
    </row>
    <row r="44" spans="1:29" x14ac:dyDescent="0.3">
      <c r="C44" s="288"/>
      <c r="D44" s="301"/>
      <c r="E44" s="301"/>
      <c r="F44" s="301"/>
      <c r="G44" s="301"/>
      <c r="H44" s="301"/>
      <c r="I44" s="301"/>
      <c r="J44" s="301"/>
      <c r="K44" s="294"/>
      <c r="L44" s="294"/>
      <c r="M44" s="294"/>
      <c r="N44" s="294"/>
      <c r="Q44" s="279"/>
      <c r="R44" s="333"/>
      <c r="S44" s="334"/>
      <c r="T44" s="334"/>
      <c r="U44" s="334"/>
      <c r="V44" s="334"/>
      <c r="W44" s="334"/>
      <c r="X44" s="334"/>
      <c r="Y44" s="334"/>
      <c r="Z44" s="335"/>
      <c r="AA44" s="335"/>
      <c r="AB44" s="322"/>
      <c r="AC44" s="322"/>
    </row>
    <row r="45" spans="1:29" x14ac:dyDescent="0.3">
      <c r="D45" s="301"/>
      <c r="E45" s="304"/>
      <c r="F45" s="304"/>
      <c r="G45" s="304"/>
      <c r="H45" s="304"/>
      <c r="I45" s="304"/>
      <c r="J45" s="304"/>
      <c r="K45" s="294"/>
      <c r="L45" s="294"/>
      <c r="M45" s="294"/>
      <c r="N45" s="294"/>
      <c r="Q45" s="279"/>
      <c r="R45" s="333"/>
      <c r="S45" s="334"/>
      <c r="T45" s="336"/>
      <c r="U45" s="336"/>
      <c r="V45" s="336"/>
      <c r="W45" s="336"/>
      <c r="X45" s="336"/>
      <c r="Y45" s="336"/>
      <c r="Z45" s="335"/>
      <c r="AA45" s="335"/>
      <c r="AB45" s="322"/>
      <c r="AC45" s="322"/>
    </row>
    <row r="46" spans="1:29" x14ac:dyDescent="0.3">
      <c r="A46" s="279">
        <v>1</v>
      </c>
      <c r="B46" s="422" t="s">
        <v>365</v>
      </c>
      <c r="C46" s="422"/>
      <c r="D46" s="305" t="s">
        <v>191</v>
      </c>
      <c r="E46" s="305" t="s">
        <v>252</v>
      </c>
      <c r="F46" s="305" t="s">
        <v>191</v>
      </c>
      <c r="G46" s="305" t="s">
        <v>191</v>
      </c>
      <c r="H46" s="305" t="s">
        <v>191</v>
      </c>
      <c r="I46" s="305" t="s">
        <v>191</v>
      </c>
      <c r="J46" s="305" t="s">
        <v>191</v>
      </c>
      <c r="K46" s="295" t="s">
        <v>604</v>
      </c>
      <c r="L46" s="295" t="s">
        <v>605</v>
      </c>
      <c r="M46" s="295" t="s">
        <v>655</v>
      </c>
      <c r="N46" s="295" t="s">
        <v>655</v>
      </c>
      <c r="Q46" s="279">
        <v>1</v>
      </c>
      <c r="R46" s="347"/>
      <c r="S46" s="337" t="s">
        <v>655</v>
      </c>
      <c r="T46" s="337" t="s">
        <v>656</v>
      </c>
      <c r="U46" s="337" t="s">
        <v>655</v>
      </c>
      <c r="V46" s="337" t="s">
        <v>655</v>
      </c>
      <c r="W46" s="337" t="s">
        <v>656</v>
      </c>
      <c r="X46" s="337" t="s">
        <v>655</v>
      </c>
      <c r="Y46" s="337" t="s">
        <v>655</v>
      </c>
      <c r="Z46" s="338" t="s">
        <v>655</v>
      </c>
      <c r="AA46" s="338" t="s">
        <v>656</v>
      </c>
      <c r="AB46" s="333" t="s">
        <v>656</v>
      </c>
      <c r="AC46" s="333" t="s">
        <v>656</v>
      </c>
    </row>
    <row r="47" spans="1:29" x14ac:dyDescent="0.3">
      <c r="A47" s="279" t="s">
        <v>263</v>
      </c>
      <c r="B47" s="420" t="s">
        <v>275</v>
      </c>
      <c r="C47" s="420"/>
      <c r="D47" s="303"/>
      <c r="E47" s="305" t="s">
        <v>191</v>
      </c>
      <c r="F47" s="305"/>
      <c r="G47" s="305"/>
      <c r="H47" s="305" t="s">
        <v>191</v>
      </c>
      <c r="I47" s="305"/>
      <c r="J47" s="305"/>
      <c r="K47" s="295"/>
      <c r="L47" s="295" t="s">
        <v>604</v>
      </c>
      <c r="M47" s="295" t="s">
        <v>656</v>
      </c>
      <c r="N47" s="295" t="s">
        <v>656</v>
      </c>
      <c r="Q47" s="279" t="s">
        <v>263</v>
      </c>
      <c r="R47" s="267"/>
      <c r="S47" s="339" t="s">
        <v>656</v>
      </c>
      <c r="T47" s="343" t="s">
        <v>676</v>
      </c>
      <c r="U47" s="343" t="s">
        <v>656</v>
      </c>
      <c r="V47" s="337" t="s">
        <v>656</v>
      </c>
      <c r="W47" s="343" t="s">
        <v>676</v>
      </c>
      <c r="X47" s="343" t="s">
        <v>656</v>
      </c>
      <c r="Y47" s="337" t="s">
        <v>656</v>
      </c>
      <c r="Z47" s="338" t="s">
        <v>677</v>
      </c>
      <c r="AA47" s="344" t="s">
        <v>676</v>
      </c>
      <c r="AB47" s="346" t="s">
        <v>676</v>
      </c>
      <c r="AC47" s="346" t="s">
        <v>676</v>
      </c>
    </row>
    <row r="48" spans="1:29" x14ac:dyDescent="0.3">
      <c r="A48" s="279" t="s">
        <v>264</v>
      </c>
      <c r="B48" s="419" t="s">
        <v>32</v>
      </c>
      <c r="C48" s="419"/>
      <c r="D48" s="303"/>
      <c r="E48" s="305" t="s">
        <v>191</v>
      </c>
      <c r="F48" s="305"/>
      <c r="G48" s="305"/>
      <c r="H48" s="305" t="s">
        <v>191</v>
      </c>
      <c r="I48" s="305"/>
      <c r="J48" s="305"/>
      <c r="K48" s="295"/>
      <c r="L48" s="295" t="s">
        <v>604</v>
      </c>
      <c r="M48" s="295" t="s">
        <v>656</v>
      </c>
      <c r="N48" s="295" t="s">
        <v>656</v>
      </c>
      <c r="Q48" s="279" t="s">
        <v>264</v>
      </c>
      <c r="R48" s="340"/>
      <c r="S48" s="345" t="s">
        <v>678</v>
      </c>
      <c r="T48" s="337"/>
      <c r="U48" s="345" t="s">
        <v>678</v>
      </c>
      <c r="V48" s="345" t="s">
        <v>678</v>
      </c>
      <c r="W48" s="337"/>
      <c r="X48" s="345" t="s">
        <v>678</v>
      </c>
      <c r="Y48" s="345" t="s">
        <v>678</v>
      </c>
      <c r="Z48" s="338" t="s">
        <v>679</v>
      </c>
      <c r="AA48" s="338"/>
      <c r="AB48" s="333"/>
      <c r="AC48" s="333"/>
    </row>
    <row r="49" spans="1:29" x14ac:dyDescent="0.3">
      <c r="A49" s="279" t="s">
        <v>265</v>
      </c>
      <c r="B49" s="420" t="s">
        <v>255</v>
      </c>
      <c r="C49" s="420"/>
      <c r="D49" s="303"/>
      <c r="E49" s="305" t="s">
        <v>191</v>
      </c>
      <c r="F49" s="305"/>
      <c r="G49" s="305"/>
      <c r="H49" s="305" t="s">
        <v>252</v>
      </c>
      <c r="I49" s="305"/>
      <c r="J49" s="305"/>
      <c r="K49" s="295"/>
      <c r="L49" s="295" t="s">
        <v>604</v>
      </c>
      <c r="M49" s="295" t="s">
        <v>656</v>
      </c>
      <c r="N49" s="295" t="s">
        <v>656</v>
      </c>
      <c r="Q49" s="279"/>
      <c r="R49" s="333"/>
      <c r="S49" s="339"/>
      <c r="T49" s="337"/>
      <c r="U49" s="337"/>
      <c r="V49" s="337"/>
      <c r="W49" s="337"/>
      <c r="X49" s="337"/>
      <c r="Y49" s="337"/>
      <c r="Z49" s="338"/>
      <c r="AA49" s="338"/>
      <c r="AB49" s="333"/>
      <c r="AC49" s="333"/>
    </row>
    <row r="50" spans="1:29" x14ac:dyDescent="0.3">
      <c r="A50" s="279" t="s">
        <v>266</v>
      </c>
      <c r="B50" s="420" t="s">
        <v>256</v>
      </c>
      <c r="C50" s="420"/>
      <c r="D50" s="303"/>
      <c r="E50" s="305" t="s">
        <v>191</v>
      </c>
      <c r="F50" s="305"/>
      <c r="G50" s="305"/>
      <c r="H50" s="304" t="s">
        <v>609</v>
      </c>
      <c r="I50" s="305"/>
      <c r="J50" s="305"/>
      <c r="K50" s="295"/>
      <c r="L50" s="295" t="s">
        <v>604</v>
      </c>
      <c r="M50" s="295" t="s">
        <v>656</v>
      </c>
      <c r="N50" s="295" t="s">
        <v>656</v>
      </c>
      <c r="Q50" s="279" t="s">
        <v>680</v>
      </c>
      <c r="R50" s="333"/>
      <c r="S50" s="339"/>
      <c r="T50" s="337"/>
      <c r="U50" s="337"/>
      <c r="V50" s="337"/>
      <c r="W50" s="337"/>
      <c r="X50" s="337"/>
      <c r="Y50" s="337"/>
      <c r="Z50" s="338"/>
      <c r="AA50" s="338"/>
      <c r="AB50" s="333"/>
      <c r="AC50" s="333"/>
    </row>
    <row r="51" spans="1:29" x14ac:dyDescent="0.3">
      <c r="A51" s="279" t="s">
        <v>267</v>
      </c>
      <c r="B51" s="420" t="s">
        <v>35</v>
      </c>
      <c r="C51" s="420"/>
      <c r="D51" s="303"/>
      <c r="E51" s="305" t="s">
        <v>252</v>
      </c>
      <c r="F51" s="305"/>
      <c r="G51" s="305"/>
      <c r="H51" s="305"/>
      <c r="I51" s="305"/>
      <c r="J51" s="305"/>
      <c r="K51" s="295"/>
      <c r="L51" s="295" t="s">
        <v>605</v>
      </c>
      <c r="M51" s="295" t="s">
        <v>655</v>
      </c>
      <c r="N51" s="295" t="s">
        <v>655</v>
      </c>
      <c r="Q51" s="279" t="s">
        <v>268</v>
      </c>
      <c r="R51" s="333" t="s">
        <v>682</v>
      </c>
      <c r="S51" s="339" t="s">
        <v>656</v>
      </c>
      <c r="T51" s="337"/>
      <c r="U51" s="337" t="s">
        <v>655</v>
      </c>
      <c r="V51" s="337" t="s">
        <v>656</v>
      </c>
      <c r="W51" s="337"/>
      <c r="X51" s="337" t="s">
        <v>655</v>
      </c>
      <c r="Y51" s="337" t="s">
        <v>656</v>
      </c>
      <c r="Z51" s="338"/>
      <c r="AA51" s="338"/>
      <c r="AB51" s="333"/>
      <c r="AC51" s="333"/>
    </row>
    <row r="52" spans="1:29" x14ac:dyDescent="0.3">
      <c r="C52" s="189"/>
      <c r="D52" s="303"/>
      <c r="E52" s="306" t="s">
        <v>258</v>
      </c>
      <c r="F52" s="305"/>
      <c r="G52" s="305"/>
      <c r="H52" s="305"/>
      <c r="I52" s="305"/>
      <c r="J52" s="305"/>
      <c r="K52" s="295"/>
      <c r="L52" s="296" t="s">
        <v>258</v>
      </c>
      <c r="M52" s="296" t="s">
        <v>258</v>
      </c>
      <c r="N52" s="296" t="s">
        <v>258</v>
      </c>
      <c r="Q52" s="279" t="s">
        <v>269</v>
      </c>
      <c r="R52" s="333" t="s">
        <v>681</v>
      </c>
      <c r="S52" s="339"/>
      <c r="T52" s="337"/>
      <c r="U52" s="337" t="s">
        <v>656</v>
      </c>
      <c r="V52" s="337"/>
      <c r="W52" s="337"/>
      <c r="X52" s="337" t="s">
        <v>656</v>
      </c>
      <c r="Y52" s="337"/>
      <c r="Z52" s="338"/>
      <c r="AA52" s="340"/>
      <c r="AB52" s="333"/>
      <c r="AC52" s="333"/>
    </row>
    <row r="53" spans="1:29" x14ac:dyDescent="0.3">
      <c r="A53" s="279" t="s">
        <v>259</v>
      </c>
      <c r="B53" s="421" t="s">
        <v>260</v>
      </c>
      <c r="C53" s="421"/>
      <c r="D53" s="303" t="s">
        <v>252</v>
      </c>
      <c r="E53" s="305"/>
      <c r="F53" s="303" t="s">
        <v>252</v>
      </c>
      <c r="G53" s="303" t="s">
        <v>252</v>
      </c>
      <c r="H53" s="305"/>
      <c r="I53" s="303" t="s">
        <v>252</v>
      </c>
      <c r="J53" s="303" t="s">
        <v>252</v>
      </c>
      <c r="K53" s="295" t="s">
        <v>605</v>
      </c>
      <c r="L53" s="295"/>
      <c r="M53" s="295"/>
      <c r="N53" s="295"/>
      <c r="Q53" s="279"/>
      <c r="R53" s="341"/>
      <c r="S53" s="339"/>
      <c r="T53" s="337"/>
      <c r="U53" s="339" t="s">
        <v>683</v>
      </c>
      <c r="V53" s="339"/>
      <c r="W53" s="337"/>
      <c r="X53" s="339" t="s">
        <v>683</v>
      </c>
      <c r="Y53" s="339"/>
      <c r="Z53" s="338"/>
      <c r="AA53" s="338"/>
      <c r="AB53" s="333"/>
      <c r="AC53" s="333"/>
    </row>
    <row r="54" spans="1:29" x14ac:dyDescent="0.3">
      <c r="A54" s="279" t="s">
        <v>268</v>
      </c>
      <c r="B54" s="419" t="s">
        <v>345</v>
      </c>
      <c r="C54" s="419"/>
      <c r="D54" s="303" t="s">
        <v>252</v>
      </c>
      <c r="E54" s="305"/>
      <c r="F54" s="305" t="s">
        <v>191</v>
      </c>
      <c r="G54" s="305" t="s">
        <v>191</v>
      </c>
      <c r="H54" s="305"/>
      <c r="I54" s="305" t="s">
        <v>252</v>
      </c>
      <c r="J54" s="305" t="s">
        <v>191</v>
      </c>
      <c r="K54" s="295" t="s">
        <v>605</v>
      </c>
      <c r="L54" s="295"/>
      <c r="M54" s="295"/>
      <c r="N54" s="295"/>
      <c r="Q54" s="279" t="s">
        <v>284</v>
      </c>
      <c r="R54" s="333" t="s">
        <v>684</v>
      </c>
      <c r="S54" s="339" t="s">
        <v>655</v>
      </c>
      <c r="T54" s="337"/>
      <c r="U54" s="337"/>
      <c r="V54" s="337" t="s">
        <v>655</v>
      </c>
      <c r="W54" s="337"/>
      <c r="X54" s="337"/>
      <c r="Y54" s="337" t="s">
        <v>655</v>
      </c>
      <c r="Z54" s="338"/>
      <c r="AA54" s="338"/>
      <c r="AB54" s="333"/>
      <c r="AC54" s="333"/>
    </row>
    <row r="55" spans="1:29" x14ac:dyDescent="0.3">
      <c r="A55" s="279" t="s">
        <v>269</v>
      </c>
      <c r="B55" s="419" t="s">
        <v>270</v>
      </c>
      <c r="C55" s="419"/>
      <c r="D55" s="303" t="s">
        <v>252</v>
      </c>
      <c r="E55" s="305"/>
      <c r="F55" s="305"/>
      <c r="G55" s="303"/>
      <c r="H55" s="305"/>
      <c r="I55" s="303" t="s">
        <v>252</v>
      </c>
      <c r="J55" s="305"/>
      <c r="K55" s="295" t="s">
        <v>604</v>
      </c>
      <c r="L55" s="295"/>
      <c r="M55" s="295"/>
      <c r="N55" s="295"/>
      <c r="Q55" s="279" t="s">
        <v>293</v>
      </c>
      <c r="R55" s="340" t="s">
        <v>685</v>
      </c>
      <c r="S55" s="339" t="s">
        <v>656</v>
      </c>
      <c r="T55" s="337"/>
      <c r="U55" s="337"/>
      <c r="V55" s="339" t="s">
        <v>677</v>
      </c>
      <c r="W55" s="337"/>
      <c r="X55" s="339"/>
      <c r="Y55" s="337" t="s">
        <v>687</v>
      </c>
      <c r="Z55" s="338"/>
      <c r="AA55" s="338"/>
      <c r="AB55" s="333"/>
      <c r="AC55" s="333"/>
    </row>
    <row r="56" spans="1:29" x14ac:dyDescent="0.3">
      <c r="B56" s="311"/>
      <c r="C56" s="311"/>
      <c r="D56" s="303"/>
      <c r="E56" s="305"/>
      <c r="F56" s="305"/>
      <c r="G56" s="303"/>
      <c r="H56" s="305"/>
      <c r="I56" s="303"/>
      <c r="J56" s="305"/>
      <c r="K56" s="295"/>
      <c r="L56" s="295"/>
      <c r="M56" s="295"/>
      <c r="N56" s="295"/>
      <c r="Q56" s="279"/>
      <c r="R56" s="340"/>
      <c r="S56" s="339"/>
      <c r="T56" s="337"/>
      <c r="U56" s="337"/>
      <c r="V56" s="339" t="s">
        <v>686</v>
      </c>
      <c r="W56" s="337"/>
      <c r="X56" s="339"/>
      <c r="Y56" s="337"/>
      <c r="Z56" s="338"/>
      <c r="AA56" s="338"/>
      <c r="AB56" s="333"/>
      <c r="AC56" s="333"/>
    </row>
    <row r="57" spans="1:29" x14ac:dyDescent="0.3">
      <c r="C57" s="189"/>
      <c r="D57" s="304" t="s">
        <v>607</v>
      </c>
      <c r="E57" s="305"/>
      <c r="F57" s="305"/>
      <c r="G57" s="304"/>
      <c r="H57" s="305"/>
      <c r="I57" s="304" t="s">
        <v>607</v>
      </c>
      <c r="J57" s="305"/>
      <c r="K57" s="295"/>
      <c r="L57" s="295"/>
      <c r="M57" s="295"/>
      <c r="N57" s="295"/>
      <c r="Q57" s="279" t="s">
        <v>342</v>
      </c>
      <c r="R57" s="340" t="s">
        <v>688</v>
      </c>
      <c r="S57" s="337" t="s">
        <v>655</v>
      </c>
      <c r="T57" s="337"/>
      <c r="U57" s="337"/>
      <c r="V57" s="337"/>
      <c r="W57" s="337"/>
      <c r="X57" s="337"/>
      <c r="Y57" s="337" t="s">
        <v>690</v>
      </c>
      <c r="Z57" s="338"/>
      <c r="AA57" s="338"/>
      <c r="AB57" s="333"/>
      <c r="AC57" s="333"/>
    </row>
    <row r="58" spans="1:29" x14ac:dyDescent="0.3">
      <c r="B58" s="310"/>
      <c r="C58" s="310"/>
      <c r="D58" s="304"/>
      <c r="E58" s="305"/>
      <c r="F58" s="305"/>
      <c r="G58" s="304"/>
      <c r="H58" s="305"/>
      <c r="I58" s="304"/>
      <c r="J58" s="305"/>
      <c r="K58" s="295"/>
      <c r="L58" s="295"/>
      <c r="M58" s="295"/>
      <c r="N58" s="295"/>
      <c r="Q58" s="279"/>
      <c r="R58" s="340"/>
      <c r="S58" s="337" t="s">
        <v>689</v>
      </c>
      <c r="T58" s="337"/>
      <c r="U58" s="337"/>
      <c r="V58" s="337"/>
      <c r="W58" s="337"/>
      <c r="X58" s="337"/>
      <c r="Y58" s="337" t="s">
        <v>691</v>
      </c>
      <c r="Z58" s="338"/>
      <c r="AA58" s="338"/>
      <c r="AB58" s="333"/>
      <c r="AC58" s="333"/>
    </row>
    <row r="59" spans="1:29" x14ac:dyDescent="0.3">
      <c r="A59" s="279" t="s">
        <v>334</v>
      </c>
      <c r="B59" s="420" t="s">
        <v>641</v>
      </c>
      <c r="C59" s="420"/>
      <c r="D59" s="303"/>
      <c r="E59" s="305"/>
      <c r="F59" s="305"/>
      <c r="G59" s="303"/>
      <c r="H59" s="305"/>
      <c r="I59" s="303"/>
      <c r="J59" s="305"/>
      <c r="K59" s="295" t="s">
        <v>605</v>
      </c>
      <c r="L59" s="295"/>
      <c r="M59" s="295"/>
      <c r="N59" s="295"/>
      <c r="Q59" s="279"/>
      <c r="R59" s="333"/>
      <c r="S59" s="339"/>
      <c r="T59" s="337"/>
      <c r="U59" s="337"/>
      <c r="V59" s="339"/>
      <c r="W59" s="337"/>
      <c r="X59" s="339"/>
      <c r="Y59" s="337"/>
      <c r="Z59" s="338"/>
      <c r="AA59" s="338"/>
      <c r="AB59" s="333"/>
      <c r="AC59" s="333"/>
    </row>
    <row r="60" spans="1:29" x14ac:dyDescent="0.3">
      <c r="A60" s="279" t="s">
        <v>288</v>
      </c>
      <c r="B60" s="421" t="s">
        <v>276</v>
      </c>
      <c r="C60" s="421"/>
      <c r="D60" s="305"/>
      <c r="E60" s="305"/>
      <c r="F60" s="305"/>
      <c r="G60" s="305"/>
      <c r="H60" s="305"/>
      <c r="I60" s="305"/>
      <c r="J60" s="305"/>
      <c r="K60" s="295" t="s">
        <v>604</v>
      </c>
      <c r="L60" s="295"/>
      <c r="M60" s="295"/>
      <c r="N60" s="295"/>
      <c r="Q60" s="279" t="s">
        <v>694</v>
      </c>
      <c r="R60" s="341"/>
      <c r="S60" s="337"/>
      <c r="T60" s="337"/>
      <c r="U60" s="337"/>
      <c r="V60" s="337"/>
      <c r="W60" s="337"/>
      <c r="X60" s="337"/>
      <c r="Y60" s="337"/>
      <c r="Z60" s="338"/>
      <c r="AA60" s="338"/>
      <c r="AB60" s="333"/>
      <c r="AC60" s="333"/>
    </row>
    <row r="61" spans="1:29" x14ac:dyDescent="0.3">
      <c r="A61" s="279" t="s">
        <v>273</v>
      </c>
      <c r="B61" s="422" t="s">
        <v>346</v>
      </c>
      <c r="C61" s="422"/>
      <c r="D61" s="305"/>
      <c r="E61" s="305"/>
      <c r="F61" s="305"/>
      <c r="G61" s="305"/>
      <c r="H61" s="305"/>
      <c r="I61" s="305"/>
      <c r="J61" s="305"/>
      <c r="K61" s="295" t="s">
        <v>605</v>
      </c>
      <c r="L61" s="295"/>
      <c r="M61" s="295"/>
      <c r="N61" s="295"/>
      <c r="Q61" s="279" t="s">
        <v>692</v>
      </c>
      <c r="R61" s="342" t="s">
        <v>707</v>
      </c>
      <c r="S61" s="337"/>
      <c r="T61" s="337" t="s">
        <v>695</v>
      </c>
      <c r="U61" s="337"/>
      <c r="V61" s="337"/>
      <c r="W61" s="337" t="s">
        <v>696</v>
      </c>
      <c r="X61" s="337"/>
      <c r="Y61" s="337"/>
      <c r="Z61" s="338"/>
      <c r="AA61" s="338" t="s">
        <v>696</v>
      </c>
      <c r="AB61" s="333" t="s">
        <v>655</v>
      </c>
      <c r="AC61" s="333" t="s">
        <v>697</v>
      </c>
    </row>
    <row r="62" spans="1:29" x14ac:dyDescent="0.3">
      <c r="A62" s="279" t="s">
        <v>274</v>
      </c>
      <c r="B62" s="421" t="s">
        <v>277</v>
      </c>
      <c r="C62" s="421"/>
      <c r="D62" s="303"/>
      <c r="E62" s="305"/>
      <c r="F62" s="303"/>
      <c r="G62" s="304"/>
      <c r="H62" s="305"/>
      <c r="I62" s="303"/>
      <c r="J62" s="304"/>
      <c r="K62" s="295" t="s">
        <v>606</v>
      </c>
      <c r="L62" s="295"/>
      <c r="M62" s="295"/>
      <c r="N62" s="295"/>
      <c r="Q62" s="279" t="s">
        <v>693</v>
      </c>
      <c r="R62" s="341" t="s">
        <v>700</v>
      </c>
      <c r="S62" s="339"/>
      <c r="T62" s="337" t="s">
        <v>655</v>
      </c>
      <c r="U62" s="339"/>
      <c r="V62" s="337"/>
      <c r="W62" s="337"/>
      <c r="X62" s="339"/>
      <c r="Y62" s="337"/>
      <c r="Z62" s="338"/>
      <c r="AA62" s="338"/>
      <c r="AB62" s="333" t="s">
        <v>656</v>
      </c>
      <c r="AC62" s="333" t="s">
        <v>656</v>
      </c>
    </row>
    <row r="63" spans="1:29" x14ac:dyDescent="0.3">
      <c r="A63" s="279" t="s">
        <v>282</v>
      </c>
      <c r="B63" s="421" t="s">
        <v>278</v>
      </c>
      <c r="C63" s="421"/>
      <c r="D63" s="303"/>
      <c r="E63" s="305"/>
      <c r="F63" s="304"/>
      <c r="G63" s="305"/>
      <c r="H63" s="305"/>
      <c r="I63" s="304"/>
      <c r="J63" s="305"/>
      <c r="K63" s="295"/>
      <c r="L63" s="295"/>
      <c r="M63" s="295"/>
      <c r="N63" s="295"/>
      <c r="Q63" s="279"/>
      <c r="R63" s="341"/>
      <c r="S63" s="339"/>
      <c r="T63" s="333" t="s">
        <v>698</v>
      </c>
      <c r="U63" s="337"/>
      <c r="V63" s="337"/>
      <c r="W63" s="337"/>
      <c r="X63" s="337"/>
      <c r="Y63" s="337"/>
      <c r="Z63" s="338"/>
      <c r="AA63" s="338"/>
      <c r="AC63" s="333"/>
    </row>
    <row r="64" spans="1:29" x14ac:dyDescent="0.3">
      <c r="C64" s="189"/>
      <c r="D64" s="304"/>
      <c r="E64" s="305"/>
      <c r="F64" s="305"/>
      <c r="G64" s="305"/>
      <c r="H64" s="305"/>
      <c r="I64" s="305"/>
      <c r="J64" s="305"/>
      <c r="K64" s="295"/>
      <c r="L64" s="295"/>
      <c r="M64" s="295"/>
      <c r="N64" s="295"/>
      <c r="Q64" s="279" t="s">
        <v>699</v>
      </c>
      <c r="R64" s="341" t="s">
        <v>701</v>
      </c>
      <c r="S64" s="337"/>
      <c r="T64" s="337"/>
      <c r="U64" s="337"/>
      <c r="V64" s="337"/>
      <c r="W64" s="337"/>
      <c r="X64" s="337"/>
      <c r="Y64" s="337"/>
      <c r="Z64" s="338"/>
      <c r="AA64" s="338"/>
      <c r="AB64" s="333" t="s">
        <v>655</v>
      </c>
      <c r="AC64" s="346" t="s">
        <v>656</v>
      </c>
    </row>
    <row r="65" spans="1:30" x14ac:dyDescent="0.3">
      <c r="A65" s="279" t="s">
        <v>289</v>
      </c>
      <c r="B65" s="421" t="s">
        <v>279</v>
      </c>
      <c r="C65" s="421"/>
      <c r="D65" s="303"/>
      <c r="E65" s="305"/>
      <c r="F65" s="305"/>
      <c r="G65" s="305"/>
      <c r="H65" s="305"/>
      <c r="I65" s="305"/>
      <c r="J65" s="305"/>
      <c r="K65" s="295"/>
      <c r="L65" s="295"/>
      <c r="M65" s="295"/>
      <c r="N65" s="295"/>
      <c r="Q65" s="279"/>
      <c r="R65" s="341"/>
      <c r="S65" s="339"/>
      <c r="T65" s="337"/>
      <c r="U65" s="337"/>
      <c r="V65" s="337"/>
      <c r="W65" s="337"/>
      <c r="X65" s="337"/>
      <c r="Y65" s="337"/>
      <c r="Z65" s="338"/>
      <c r="AA65" s="338"/>
      <c r="AB65" s="333" t="s">
        <v>702</v>
      </c>
      <c r="AC65" s="333"/>
    </row>
    <row r="66" spans="1:30" x14ac:dyDescent="0.3">
      <c r="A66" s="279" t="s">
        <v>290</v>
      </c>
      <c r="B66" s="421" t="s">
        <v>280</v>
      </c>
      <c r="C66" s="421"/>
      <c r="D66" s="303"/>
      <c r="E66" s="305"/>
      <c r="F66" s="305"/>
      <c r="G66" s="305"/>
      <c r="H66" s="305"/>
      <c r="I66" s="305"/>
      <c r="J66" s="305"/>
      <c r="K66" s="295"/>
      <c r="L66" s="295"/>
      <c r="M66" s="295"/>
      <c r="N66" s="295"/>
      <c r="Q66" s="279" t="s">
        <v>703</v>
      </c>
      <c r="R66" s="348" t="s">
        <v>710</v>
      </c>
      <c r="S66" s="339"/>
      <c r="T66" s="337"/>
      <c r="U66" s="337"/>
      <c r="V66" s="337"/>
      <c r="W66" s="337"/>
      <c r="X66" s="337"/>
      <c r="Y66" s="337"/>
      <c r="Z66" s="338"/>
      <c r="AA66" s="338"/>
      <c r="AC66" s="333" t="s">
        <v>655</v>
      </c>
    </row>
    <row r="67" spans="1:30" x14ac:dyDescent="0.3">
      <c r="A67" s="279" t="s">
        <v>291</v>
      </c>
      <c r="B67" s="421" t="s">
        <v>281</v>
      </c>
      <c r="C67" s="421"/>
      <c r="D67" s="301"/>
      <c r="E67" s="304"/>
      <c r="F67" s="304"/>
      <c r="G67" s="304"/>
      <c r="H67" s="304"/>
      <c r="I67" s="304"/>
      <c r="J67" s="305"/>
      <c r="K67" s="294"/>
      <c r="L67" s="294"/>
      <c r="M67" s="294"/>
      <c r="N67" s="294"/>
      <c r="Q67" s="279"/>
      <c r="R67" s="341"/>
      <c r="S67" s="339"/>
      <c r="T67" s="337"/>
      <c r="U67" s="337"/>
      <c r="V67" s="337"/>
      <c r="W67" s="337"/>
      <c r="X67" s="337"/>
      <c r="Y67" s="337"/>
      <c r="Z67" s="338"/>
      <c r="AA67" s="338"/>
      <c r="AB67" s="333"/>
      <c r="AC67" s="333" t="s">
        <v>708</v>
      </c>
    </row>
    <row r="68" spans="1:30" x14ac:dyDescent="0.3">
      <c r="A68" s="279" t="s">
        <v>292</v>
      </c>
      <c r="B68" s="421" t="s">
        <v>283</v>
      </c>
      <c r="C68" s="421"/>
      <c r="D68" s="301"/>
      <c r="E68" s="304"/>
      <c r="F68" s="304"/>
      <c r="G68" s="304"/>
      <c r="H68" s="304"/>
      <c r="I68" s="304"/>
      <c r="J68" s="303"/>
      <c r="K68" s="294"/>
      <c r="L68" s="294"/>
      <c r="M68" s="294"/>
      <c r="N68" s="294"/>
      <c r="Q68" s="279" t="s">
        <v>692</v>
      </c>
      <c r="R68" s="342" t="s">
        <v>711</v>
      </c>
      <c r="S68" s="339"/>
      <c r="T68" s="337"/>
      <c r="U68" s="337"/>
      <c r="V68" s="337"/>
      <c r="W68" s="337" t="s">
        <v>655</v>
      </c>
      <c r="X68" s="337"/>
      <c r="Y68" s="339"/>
      <c r="Z68" s="338"/>
      <c r="AA68" s="338" t="s">
        <v>712</v>
      </c>
      <c r="AB68" s="333"/>
      <c r="AC68" s="333"/>
      <c r="AD68" s="313"/>
    </row>
    <row r="69" spans="1:30" x14ac:dyDescent="0.3">
      <c r="D69" s="301"/>
      <c r="E69" s="304"/>
      <c r="F69" s="304"/>
      <c r="G69" s="304"/>
      <c r="H69" s="304"/>
      <c r="I69" s="304"/>
      <c r="J69" s="304"/>
      <c r="K69" s="294"/>
      <c r="L69" s="294"/>
      <c r="M69" s="294"/>
      <c r="N69" s="294"/>
      <c r="Q69" s="279"/>
      <c r="R69" s="333"/>
      <c r="S69" s="339"/>
      <c r="T69" s="337"/>
      <c r="U69" s="337"/>
      <c r="V69" s="337"/>
      <c r="W69" s="337" t="s">
        <v>713</v>
      </c>
      <c r="X69" s="337"/>
      <c r="Y69" s="337"/>
      <c r="Z69" s="338"/>
      <c r="AA69" s="337" t="s">
        <v>713</v>
      </c>
      <c r="AB69" s="333"/>
      <c r="AC69" s="333"/>
    </row>
    <row r="70" spans="1:30" x14ac:dyDescent="0.3">
      <c r="A70" s="279" t="s">
        <v>284</v>
      </c>
      <c r="B70" s="419" t="s">
        <v>285</v>
      </c>
      <c r="C70" s="419"/>
      <c r="D70" s="301"/>
      <c r="E70" s="304"/>
      <c r="F70" s="304" t="s">
        <v>252</v>
      </c>
      <c r="G70" s="303" t="s">
        <v>252</v>
      </c>
      <c r="H70" s="304"/>
      <c r="I70" s="305"/>
      <c r="J70" s="303" t="s">
        <v>252</v>
      </c>
      <c r="K70" s="294"/>
      <c r="L70" s="294"/>
      <c r="M70" s="294"/>
      <c r="N70" s="294"/>
      <c r="Q70" s="279"/>
      <c r="R70" s="340"/>
      <c r="S70" s="339"/>
      <c r="T70" s="337"/>
      <c r="U70" s="337"/>
      <c r="V70" s="339"/>
      <c r="W70" s="337"/>
      <c r="X70" s="337"/>
      <c r="Y70" s="339"/>
      <c r="Z70" s="338"/>
      <c r="AA70" s="338"/>
      <c r="AB70" s="333"/>
      <c r="AC70" s="333"/>
    </row>
    <row r="71" spans="1:30" x14ac:dyDescent="0.3">
      <c r="A71" s="279" t="s">
        <v>293</v>
      </c>
      <c r="B71" s="421" t="s">
        <v>286</v>
      </c>
      <c r="C71" s="421"/>
      <c r="D71" s="301"/>
      <c r="E71" s="304"/>
      <c r="F71" s="304" t="s">
        <v>191</v>
      </c>
      <c r="G71" s="303" t="s">
        <v>252</v>
      </c>
      <c r="H71" s="304"/>
      <c r="I71" s="305"/>
      <c r="J71" s="305" t="s">
        <v>191</v>
      </c>
      <c r="K71" s="294"/>
      <c r="L71" s="294"/>
      <c r="M71" s="294"/>
      <c r="N71" s="294"/>
      <c r="Q71" s="279"/>
      <c r="R71" s="341"/>
      <c r="S71" s="339"/>
      <c r="T71" s="337"/>
      <c r="U71" s="337"/>
      <c r="V71" s="339"/>
      <c r="W71" s="337"/>
      <c r="X71" s="337"/>
      <c r="Y71" s="337"/>
      <c r="Z71" s="338"/>
      <c r="AA71" s="338"/>
      <c r="AB71" s="333"/>
      <c r="AC71" s="333"/>
    </row>
    <row r="72" spans="1:30" x14ac:dyDescent="0.3">
      <c r="D72" s="301"/>
      <c r="E72" s="304"/>
      <c r="F72" s="304"/>
      <c r="G72" s="304" t="s">
        <v>607</v>
      </c>
      <c r="H72" s="304"/>
      <c r="I72" s="305"/>
      <c r="J72" s="304"/>
      <c r="K72" s="294"/>
      <c r="L72" s="294"/>
      <c r="M72" s="294"/>
      <c r="N72" s="294"/>
      <c r="Q72" s="279"/>
      <c r="R72" s="333"/>
      <c r="S72" s="339"/>
      <c r="T72" s="337"/>
      <c r="U72" s="337"/>
      <c r="V72" s="337"/>
      <c r="W72" s="337"/>
      <c r="X72" s="337"/>
      <c r="Y72" s="337"/>
      <c r="Z72" s="338"/>
      <c r="AA72" s="338"/>
      <c r="AB72" s="333"/>
      <c r="AC72" s="333"/>
    </row>
    <row r="73" spans="1:30" x14ac:dyDescent="0.3">
      <c r="A73" s="279" t="s">
        <v>342</v>
      </c>
      <c r="B73" s="421" t="s">
        <v>343</v>
      </c>
      <c r="C73" s="421"/>
      <c r="D73" s="301"/>
      <c r="E73" s="304"/>
      <c r="F73" s="304"/>
      <c r="G73" s="303"/>
      <c r="H73" s="304"/>
      <c r="I73" s="305"/>
      <c r="J73" s="305" t="s">
        <v>252</v>
      </c>
      <c r="K73" s="294"/>
      <c r="L73" s="294"/>
      <c r="M73" s="294"/>
      <c r="N73" s="294"/>
      <c r="Q73" s="279"/>
      <c r="R73" s="341"/>
      <c r="S73" s="339"/>
      <c r="T73" s="337"/>
      <c r="U73" s="337"/>
      <c r="V73" s="339"/>
      <c r="W73" s="337"/>
      <c r="X73" s="337"/>
      <c r="Y73" s="337"/>
      <c r="Z73" s="338"/>
      <c r="AA73" s="338"/>
      <c r="AB73" s="333"/>
      <c r="AC73" s="333"/>
    </row>
    <row r="74" spans="1:30" x14ac:dyDescent="0.3">
      <c r="A74" s="279" t="s">
        <v>294</v>
      </c>
      <c r="B74" s="421" t="s">
        <v>296</v>
      </c>
      <c r="C74" s="421"/>
      <c r="D74" s="301"/>
      <c r="E74" s="304"/>
      <c r="F74" s="304" t="s">
        <v>191</v>
      </c>
      <c r="G74" s="304"/>
      <c r="H74" s="304"/>
      <c r="I74" s="305"/>
      <c r="J74" s="305"/>
      <c r="K74" s="294"/>
      <c r="L74" s="294"/>
      <c r="M74" s="294"/>
      <c r="N74" s="294"/>
      <c r="Q74" s="279"/>
      <c r="R74" s="341"/>
      <c r="S74" s="339"/>
      <c r="T74" s="337"/>
      <c r="U74" s="337"/>
      <c r="V74" s="337"/>
      <c r="W74" s="337"/>
      <c r="X74" s="337"/>
      <c r="Y74" s="337"/>
      <c r="Z74" s="338"/>
      <c r="AA74" s="338"/>
      <c r="AB74" s="333"/>
      <c r="AC74" s="333"/>
    </row>
    <row r="75" spans="1:30" x14ac:dyDescent="0.3">
      <c r="A75" s="279" t="s">
        <v>295</v>
      </c>
      <c r="B75" s="419" t="s">
        <v>347</v>
      </c>
      <c r="C75" s="419"/>
      <c r="D75" s="301"/>
      <c r="E75" s="304"/>
      <c r="F75" s="304" t="s">
        <v>191</v>
      </c>
      <c r="G75" s="304"/>
      <c r="H75" s="304"/>
      <c r="I75" s="305"/>
      <c r="J75" s="303" t="s">
        <v>252</v>
      </c>
      <c r="K75" s="294"/>
      <c r="L75" s="294"/>
      <c r="M75" s="294"/>
      <c r="N75" s="294"/>
      <c r="Q75" s="279"/>
      <c r="R75" s="340"/>
      <c r="S75" s="339"/>
      <c r="T75" s="337"/>
      <c r="U75" s="337"/>
      <c r="V75" s="337"/>
      <c r="W75" s="337"/>
      <c r="X75" s="337"/>
      <c r="Y75" s="339"/>
      <c r="Z75" s="338"/>
      <c r="AA75" s="338"/>
      <c r="AB75" s="333"/>
      <c r="AC75" s="333"/>
    </row>
    <row r="76" spans="1:30" x14ac:dyDescent="0.3">
      <c r="C76" s="189"/>
      <c r="D76" s="301"/>
      <c r="E76" s="304"/>
      <c r="F76" s="304"/>
      <c r="G76" s="304"/>
      <c r="H76" s="304"/>
      <c r="I76" s="305"/>
      <c r="J76" s="304"/>
      <c r="K76" s="294"/>
      <c r="L76" s="294"/>
      <c r="M76" s="294"/>
      <c r="N76" s="294"/>
      <c r="Q76" s="279"/>
      <c r="R76" s="333"/>
      <c r="S76" s="339"/>
      <c r="T76" s="337"/>
      <c r="U76" s="337"/>
      <c r="V76" s="337"/>
      <c r="W76" s="337"/>
      <c r="X76" s="337"/>
      <c r="Y76" s="337"/>
      <c r="Z76" s="338"/>
      <c r="AA76" s="338"/>
      <c r="AB76" s="333"/>
      <c r="AC76" s="333"/>
    </row>
    <row r="77" spans="1:30" x14ac:dyDescent="0.3">
      <c r="A77" s="279" t="s">
        <v>299</v>
      </c>
      <c r="B77" s="420" t="s">
        <v>301</v>
      </c>
      <c r="C77" s="420"/>
      <c r="D77" s="301"/>
      <c r="E77" s="304"/>
      <c r="F77" s="304"/>
      <c r="G77" s="304"/>
      <c r="H77" s="304"/>
      <c r="I77" s="304"/>
      <c r="J77" s="305" t="s">
        <v>252</v>
      </c>
      <c r="K77" s="294"/>
      <c r="L77" s="294"/>
      <c r="M77" s="294"/>
      <c r="N77" s="294"/>
      <c r="Q77" s="279"/>
      <c r="R77" s="333"/>
      <c r="S77" s="339"/>
      <c r="T77" s="337"/>
      <c r="U77" s="337"/>
      <c r="V77" s="337"/>
      <c r="W77" s="337"/>
      <c r="X77" s="337"/>
      <c r="Y77" s="337"/>
      <c r="Z77" s="338"/>
      <c r="AA77" s="338"/>
      <c r="AB77" s="333"/>
      <c r="AC77" s="333"/>
    </row>
    <row r="78" spans="1:30" x14ac:dyDescent="0.3">
      <c r="A78" s="279" t="s">
        <v>300</v>
      </c>
      <c r="B78" s="419" t="s">
        <v>302</v>
      </c>
      <c r="C78" s="419"/>
      <c r="D78" s="301"/>
      <c r="E78" s="304"/>
      <c r="F78" s="304"/>
      <c r="G78" s="304"/>
      <c r="H78" s="304"/>
      <c r="I78" s="304"/>
      <c r="J78" s="304" t="s">
        <v>344</v>
      </c>
      <c r="K78" s="294"/>
      <c r="L78" s="294"/>
      <c r="M78" s="294"/>
      <c r="N78" s="294"/>
      <c r="Q78" s="279"/>
      <c r="R78" s="340"/>
      <c r="S78" s="339"/>
      <c r="T78" s="337"/>
      <c r="U78" s="337"/>
      <c r="V78" s="337"/>
      <c r="W78" s="337"/>
      <c r="X78" s="337"/>
      <c r="Y78" s="337"/>
      <c r="Z78" s="338"/>
      <c r="AA78" s="338"/>
      <c r="AB78" s="333"/>
      <c r="AC78" s="333"/>
    </row>
    <row r="79" spans="1:30" x14ac:dyDescent="0.3">
      <c r="D79" s="301"/>
      <c r="E79" s="304"/>
      <c r="F79" s="304"/>
      <c r="G79" s="304"/>
      <c r="H79" s="304"/>
      <c r="I79" s="304"/>
      <c r="J79" s="304"/>
      <c r="K79" s="294"/>
      <c r="L79" s="294"/>
      <c r="M79" s="294"/>
      <c r="N79" s="294"/>
      <c r="Q79" s="279"/>
      <c r="R79" s="333"/>
      <c r="S79" s="339"/>
      <c r="T79" s="337"/>
      <c r="U79" s="337"/>
      <c r="V79" s="337"/>
      <c r="W79" s="337"/>
      <c r="X79" s="337"/>
      <c r="Y79" s="337"/>
      <c r="Z79" s="338"/>
      <c r="AA79" s="338"/>
      <c r="AB79" s="333"/>
      <c r="AC79" s="333"/>
    </row>
    <row r="80" spans="1:30" x14ac:dyDescent="0.3">
      <c r="A80" s="279" t="s">
        <v>297</v>
      </c>
      <c r="B80" s="420" t="s">
        <v>298</v>
      </c>
      <c r="C80" s="420"/>
      <c r="D80" s="301"/>
      <c r="E80" s="304"/>
      <c r="F80" s="304" t="s">
        <v>252</v>
      </c>
      <c r="G80" s="304"/>
      <c r="H80" s="304"/>
      <c r="I80" s="304"/>
      <c r="J80" s="304"/>
      <c r="K80" s="294"/>
      <c r="L80" s="294"/>
      <c r="M80" s="294"/>
      <c r="N80" s="294"/>
      <c r="Q80" s="279"/>
      <c r="R80" s="333"/>
      <c r="S80" s="339"/>
      <c r="T80" s="337"/>
      <c r="U80" s="337"/>
      <c r="V80" s="337"/>
      <c r="W80" s="337"/>
      <c r="X80" s="337"/>
      <c r="Y80" s="337"/>
      <c r="Z80" s="338"/>
      <c r="AA80" s="338"/>
      <c r="AB80" s="333"/>
      <c r="AC80" s="333"/>
    </row>
    <row r="81" spans="1:29" x14ac:dyDescent="0.3">
      <c r="A81" s="279" t="s">
        <v>338</v>
      </c>
      <c r="B81" s="420" t="s">
        <v>340</v>
      </c>
      <c r="C81" s="420"/>
      <c r="D81" s="301"/>
      <c r="E81" s="304"/>
      <c r="F81" s="304" t="s">
        <v>337</v>
      </c>
      <c r="G81" s="304"/>
      <c r="H81" s="304"/>
      <c r="I81" s="304"/>
      <c r="J81" s="304"/>
      <c r="K81" s="294"/>
      <c r="L81" s="294"/>
      <c r="M81" s="294"/>
      <c r="N81" s="294"/>
      <c r="Q81" s="279"/>
      <c r="R81" s="333"/>
      <c r="S81" s="339"/>
      <c r="T81" s="337"/>
      <c r="U81" s="337"/>
      <c r="V81" s="337"/>
      <c r="W81" s="337"/>
      <c r="X81" s="337"/>
      <c r="Y81" s="337"/>
      <c r="Z81" s="338"/>
      <c r="AA81" s="338"/>
      <c r="AB81" s="333"/>
      <c r="AC81" s="333"/>
    </row>
    <row r="82" spans="1:29" x14ac:dyDescent="0.3">
      <c r="A82" s="279" t="s">
        <v>339</v>
      </c>
      <c r="B82" s="420" t="s">
        <v>341</v>
      </c>
      <c r="C82" s="420"/>
      <c r="D82" s="301"/>
      <c r="E82" s="304"/>
      <c r="F82" s="304"/>
      <c r="G82" s="304"/>
      <c r="H82" s="304"/>
      <c r="I82" s="304"/>
      <c r="J82" s="304"/>
      <c r="K82" s="294"/>
      <c r="L82" s="294"/>
      <c r="M82" s="294"/>
      <c r="N82" s="294"/>
      <c r="Q82" s="279"/>
      <c r="R82" s="333"/>
      <c r="S82" s="339"/>
      <c r="T82" s="337"/>
      <c r="U82" s="337"/>
      <c r="V82" s="337"/>
      <c r="W82" s="337"/>
      <c r="X82" s="337"/>
      <c r="Y82" s="337"/>
      <c r="Z82" s="338"/>
      <c r="AA82" s="338"/>
      <c r="AB82" s="333"/>
      <c r="AC82" s="333"/>
    </row>
    <row r="83" spans="1:29" x14ac:dyDescent="0.3">
      <c r="D83" s="301"/>
      <c r="E83" s="304"/>
      <c r="F83" s="304"/>
      <c r="G83" s="304"/>
      <c r="H83" s="304"/>
      <c r="I83" s="304"/>
      <c r="J83" s="304"/>
      <c r="K83" s="294"/>
      <c r="L83" s="294"/>
      <c r="M83" s="294"/>
      <c r="N83" s="294"/>
      <c r="Q83" s="279"/>
      <c r="R83" s="310"/>
      <c r="S83" s="303"/>
      <c r="T83" s="305"/>
      <c r="U83" s="305"/>
      <c r="V83" s="305"/>
      <c r="W83" s="305"/>
      <c r="X83" s="305"/>
      <c r="Y83" s="305"/>
      <c r="Z83" s="295"/>
      <c r="AA83" s="295"/>
      <c r="AB83" s="310"/>
      <c r="AC83" s="310"/>
    </row>
    <row r="84" spans="1:29" x14ac:dyDescent="0.3">
      <c r="D84" s="301"/>
      <c r="E84" s="304"/>
      <c r="F84" s="304"/>
      <c r="G84" s="304"/>
      <c r="H84" s="304"/>
      <c r="I84" s="304"/>
      <c r="J84" s="304"/>
      <c r="K84" s="294"/>
      <c r="L84" s="294"/>
      <c r="M84" s="294"/>
      <c r="N84" s="294"/>
      <c r="Q84" s="279"/>
      <c r="R84" s="310"/>
      <c r="S84" s="301"/>
      <c r="T84" s="304"/>
      <c r="U84" s="304"/>
      <c r="V84" s="304"/>
      <c r="W84" s="304"/>
      <c r="X84" s="304"/>
      <c r="Y84" s="304"/>
      <c r="Z84" s="294"/>
      <c r="AA84" s="294"/>
    </row>
    <row r="85" spans="1:29" x14ac:dyDescent="0.3">
      <c r="D85" s="301"/>
      <c r="E85" s="304"/>
      <c r="F85" s="304"/>
      <c r="G85" s="304"/>
      <c r="H85" s="304"/>
      <c r="I85" s="304"/>
      <c r="J85" s="304"/>
      <c r="K85" s="294"/>
      <c r="L85" s="294"/>
      <c r="M85" s="294"/>
      <c r="N85" s="294"/>
    </row>
    <row r="86" spans="1:29" x14ac:dyDescent="0.3">
      <c r="D86" s="301"/>
      <c r="E86" s="304"/>
      <c r="F86" s="304"/>
      <c r="G86" s="304"/>
      <c r="H86" s="304"/>
      <c r="I86" s="304"/>
      <c r="J86" s="304"/>
      <c r="K86" s="294"/>
      <c r="L86" s="294"/>
      <c r="M86" s="294"/>
      <c r="N86" s="294"/>
    </row>
    <row r="87" spans="1:29" x14ac:dyDescent="0.3">
      <c r="D87" s="301"/>
      <c r="E87" s="304"/>
      <c r="F87" s="304"/>
      <c r="G87" s="304"/>
      <c r="H87" s="304"/>
      <c r="I87" s="304"/>
      <c r="J87" s="304"/>
      <c r="K87" s="294"/>
      <c r="L87" s="294"/>
      <c r="M87" s="294"/>
      <c r="N87" s="294"/>
    </row>
    <row r="88" spans="1:29" x14ac:dyDescent="0.3">
      <c r="D88" s="301"/>
      <c r="E88" s="304"/>
      <c r="F88" s="304"/>
      <c r="G88" s="304"/>
      <c r="H88" s="304"/>
      <c r="I88" s="304"/>
      <c r="J88" s="304"/>
      <c r="K88" s="294"/>
      <c r="L88" s="294"/>
      <c r="M88" s="294"/>
      <c r="N88" s="294"/>
    </row>
    <row r="89" spans="1:29" x14ac:dyDescent="0.3">
      <c r="D89" s="301"/>
      <c r="E89" s="304"/>
      <c r="F89" s="304"/>
      <c r="G89" s="304"/>
      <c r="H89" s="304"/>
      <c r="I89" s="304"/>
      <c r="J89" s="304"/>
      <c r="K89" s="294"/>
      <c r="L89" s="294"/>
      <c r="M89" s="294"/>
      <c r="N89" s="294"/>
    </row>
    <row r="90" spans="1:29" x14ac:dyDescent="0.3">
      <c r="D90" s="301"/>
      <c r="E90" s="304"/>
      <c r="F90" s="304"/>
      <c r="G90" s="304"/>
      <c r="H90" s="304"/>
      <c r="I90" s="304"/>
      <c r="J90" s="304"/>
      <c r="K90" s="294"/>
      <c r="L90" s="294"/>
      <c r="M90" s="294"/>
      <c r="N90" s="294"/>
    </row>
    <row r="91" spans="1:29" x14ac:dyDescent="0.3">
      <c r="D91" s="301"/>
      <c r="E91" s="304"/>
      <c r="F91" s="304"/>
      <c r="G91" s="304"/>
      <c r="H91" s="304"/>
      <c r="I91" s="304"/>
      <c r="J91" s="304"/>
      <c r="K91" s="294"/>
      <c r="L91" s="294"/>
      <c r="M91" s="294"/>
      <c r="N91" s="294"/>
    </row>
    <row r="92" spans="1:29" x14ac:dyDescent="0.3">
      <c r="D92" s="301"/>
      <c r="E92" s="304"/>
      <c r="F92" s="304"/>
      <c r="G92" s="304"/>
      <c r="H92" s="304"/>
      <c r="I92" s="304"/>
      <c r="J92" s="304"/>
      <c r="K92" s="294"/>
      <c r="L92" s="294"/>
      <c r="M92" s="294"/>
      <c r="N92" s="294"/>
    </row>
    <row r="93" spans="1:29" x14ac:dyDescent="0.3">
      <c r="D93" s="301"/>
      <c r="E93" s="304"/>
      <c r="F93" s="304"/>
      <c r="G93" s="304"/>
      <c r="H93" s="304"/>
      <c r="I93" s="304"/>
      <c r="J93" s="304"/>
      <c r="K93" s="294"/>
      <c r="L93" s="294"/>
      <c r="M93" s="294"/>
      <c r="N93" s="294"/>
    </row>
  </sheetData>
  <mergeCells count="28">
    <mergeCell ref="B75:C75"/>
    <mergeCell ref="B61:C61"/>
    <mergeCell ref="B46:C46"/>
    <mergeCell ref="B47:C47"/>
    <mergeCell ref="B48:C48"/>
    <mergeCell ref="B49:C49"/>
    <mergeCell ref="B50:C50"/>
    <mergeCell ref="B51:C51"/>
    <mergeCell ref="B53:C53"/>
    <mergeCell ref="B54:C54"/>
    <mergeCell ref="B55:C55"/>
    <mergeCell ref="B59:C59"/>
    <mergeCell ref="B60:C60"/>
    <mergeCell ref="B68:C68"/>
    <mergeCell ref="B70:C70"/>
    <mergeCell ref="B71:C71"/>
    <mergeCell ref="B73:C73"/>
    <mergeCell ref="B74:C74"/>
    <mergeCell ref="B62:C62"/>
    <mergeCell ref="B63:C63"/>
    <mergeCell ref="B65:C65"/>
    <mergeCell ref="B66:C66"/>
    <mergeCell ref="B67:C67"/>
    <mergeCell ref="B78:C78"/>
    <mergeCell ref="B80:C80"/>
    <mergeCell ref="B81:C81"/>
    <mergeCell ref="B82:C82"/>
    <mergeCell ref="B77:C77"/>
  </mergeCells>
  <phoneticPr fontId="1" type="noConversion"/>
  <pageMargins left="0.7" right="0.7" top="0.75" bottom="0.75" header="0.3" footer="0.3"/>
  <pageSetup paperSize="9"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C52"/>
  <sheetViews>
    <sheetView zoomScale="55" zoomScaleNormal="55" workbookViewId="0">
      <selection activeCell="W42" sqref="W42"/>
    </sheetView>
  </sheetViews>
  <sheetFormatPr defaultRowHeight="16.5" x14ac:dyDescent="0.3"/>
  <cols>
    <col min="3" max="3" width="17.375" customWidth="1"/>
    <col min="4" max="4" width="14.75" customWidth="1"/>
    <col min="5" max="5" width="12.875" customWidth="1"/>
    <col min="6" max="6" width="13.25" customWidth="1"/>
    <col min="7" max="7" width="12.875" customWidth="1"/>
    <col min="9" max="9" width="9.125" customWidth="1"/>
    <col min="10" max="10" width="11.75" customWidth="1"/>
    <col min="11" max="11" width="14.25" customWidth="1"/>
    <col min="12" max="12" width="12.375" customWidth="1"/>
    <col min="16" max="16" width="15.375" customWidth="1"/>
    <col min="18" max="18" width="19.5" customWidth="1"/>
    <col min="20" max="20" width="22" customWidth="1"/>
    <col min="21" max="21" width="13" customWidth="1"/>
    <col min="22" max="22" width="12.25" customWidth="1"/>
    <col min="23" max="23" width="22.875" customWidth="1"/>
    <col min="24" max="24" width="19" customWidth="1"/>
    <col min="25" max="25" width="19.5" customWidth="1"/>
    <col min="26" max="26" width="21.625" customWidth="1"/>
    <col min="27" max="27" width="20.625" customWidth="1"/>
  </cols>
  <sheetData>
    <row r="2" spans="1:29" x14ac:dyDescent="0.3">
      <c r="D2">
        <v>1</v>
      </c>
      <c r="E2">
        <v>2</v>
      </c>
      <c r="F2">
        <v>3</v>
      </c>
      <c r="G2">
        <v>4</v>
      </c>
      <c r="H2">
        <v>5</v>
      </c>
      <c r="I2">
        <v>6</v>
      </c>
      <c r="J2">
        <v>7</v>
      </c>
      <c r="K2">
        <v>8</v>
      </c>
      <c r="L2">
        <v>9</v>
      </c>
      <c r="M2">
        <v>10</v>
      </c>
      <c r="N2">
        <v>11</v>
      </c>
      <c r="O2">
        <v>12</v>
      </c>
      <c r="P2">
        <v>13</v>
      </c>
      <c r="Q2">
        <v>14</v>
      </c>
      <c r="R2">
        <v>15</v>
      </c>
      <c r="T2" s="418" t="s">
        <v>735</v>
      </c>
      <c r="U2" s="418"/>
      <c r="V2" s="418"/>
      <c r="W2" s="418"/>
      <c r="X2" s="418"/>
      <c r="Y2" s="418"/>
      <c r="Z2" s="442"/>
      <c r="AA2" s="442"/>
      <c r="AB2" s="442"/>
      <c r="AC2" s="442"/>
    </row>
    <row r="3" spans="1:29" x14ac:dyDescent="0.3">
      <c r="D3" s="424" t="s">
        <v>720</v>
      </c>
      <c r="E3" s="424" t="s">
        <v>721</v>
      </c>
      <c r="F3" s="424" t="s">
        <v>722</v>
      </c>
      <c r="G3" s="424" t="s">
        <v>723</v>
      </c>
      <c r="H3" s="424" t="s">
        <v>724</v>
      </c>
      <c r="I3" s="424" t="s">
        <v>725</v>
      </c>
      <c r="J3" s="424" t="s">
        <v>726</v>
      </c>
      <c r="K3" s="424" t="s">
        <v>727</v>
      </c>
      <c r="L3" s="424" t="s">
        <v>728</v>
      </c>
      <c r="M3" s="424" t="s">
        <v>729</v>
      </c>
      <c r="N3" s="424" t="s">
        <v>730</v>
      </c>
      <c r="O3" s="424" t="s">
        <v>731</v>
      </c>
      <c r="P3" s="424" t="s">
        <v>732</v>
      </c>
      <c r="Q3" s="424" t="s">
        <v>733</v>
      </c>
      <c r="R3" s="424" t="s">
        <v>734</v>
      </c>
      <c r="U3" s="426" t="s">
        <v>736</v>
      </c>
      <c r="V3" s="426" t="s">
        <v>737</v>
      </c>
      <c r="W3" s="426" t="s">
        <v>745</v>
      </c>
      <c r="X3" s="426" t="s">
        <v>738</v>
      </c>
      <c r="Y3" s="426" t="s">
        <v>750</v>
      </c>
      <c r="Z3" s="426"/>
    </row>
    <row r="4" spans="1:29" x14ac:dyDescent="0.3">
      <c r="B4">
        <v>1</v>
      </c>
      <c r="C4" s="424" t="s">
        <v>720</v>
      </c>
      <c r="D4">
        <v>0</v>
      </c>
      <c r="E4">
        <v>12.43</v>
      </c>
      <c r="F4">
        <v>9.0500000000000007</v>
      </c>
      <c r="G4">
        <v>5.09</v>
      </c>
      <c r="H4">
        <v>31.9</v>
      </c>
      <c r="I4">
        <v>32.659999999999997</v>
      </c>
      <c r="J4">
        <v>30.62</v>
      </c>
      <c r="K4">
        <v>64.92</v>
      </c>
      <c r="L4">
        <v>5.23</v>
      </c>
      <c r="M4">
        <v>88.56</v>
      </c>
      <c r="N4">
        <v>18.149999999999999</v>
      </c>
      <c r="O4">
        <v>24.89</v>
      </c>
      <c r="P4">
        <v>64.989999999999995</v>
      </c>
      <c r="Q4">
        <v>19.7</v>
      </c>
      <c r="R4">
        <v>64.94</v>
      </c>
      <c r="U4" s="349" t="s">
        <v>739</v>
      </c>
      <c r="V4" s="349" t="s">
        <v>740</v>
      </c>
      <c r="W4" s="349" t="s">
        <v>748</v>
      </c>
      <c r="X4" s="349" t="s">
        <v>749</v>
      </c>
      <c r="Y4" s="349" t="s">
        <v>746</v>
      </c>
      <c r="Z4" s="349"/>
    </row>
    <row r="5" spans="1:29" x14ac:dyDescent="0.3">
      <c r="B5">
        <v>2</v>
      </c>
      <c r="C5" s="424" t="s">
        <v>721</v>
      </c>
      <c r="E5">
        <v>0</v>
      </c>
      <c r="F5">
        <v>18.059999999999999</v>
      </c>
      <c r="G5">
        <v>16.72</v>
      </c>
      <c r="H5">
        <v>31.05</v>
      </c>
      <c r="I5">
        <v>30.98</v>
      </c>
      <c r="J5">
        <v>32.29</v>
      </c>
      <c r="K5">
        <v>66.44</v>
      </c>
      <c r="L5">
        <v>69.069999999999993</v>
      </c>
      <c r="M5">
        <v>97.28</v>
      </c>
      <c r="N5">
        <v>26.81</v>
      </c>
      <c r="O5">
        <v>31.47</v>
      </c>
      <c r="P5">
        <v>66.8</v>
      </c>
      <c r="Q5">
        <v>16.77</v>
      </c>
      <c r="R5">
        <v>67.849999999999994</v>
      </c>
      <c r="T5" t="s">
        <v>751</v>
      </c>
      <c r="U5">
        <f>AVERAGE(E4,F4,F5,G4,G5,G6)</f>
        <v>11.394999999999998</v>
      </c>
      <c r="V5">
        <f>AVERAGE(I8,J8,K8,J9,K9,K10)</f>
        <v>43.206666666666671</v>
      </c>
      <c r="W5">
        <f>AVERAGE(E4:K4,N4,R4,F5:K5,N5,R5,G6:K6,N6,R6,H7:K7,N7,R7,I8:K8,N8,R8,J9:K9,N9,R9,K10,N10,R10,R14)</f>
        <v>38.054418604651168</v>
      </c>
      <c r="X5" s="439">
        <f>AVERAGE(P11,R16,R11)</f>
        <v>30.466666666666669</v>
      </c>
      <c r="Y5">
        <v>45.47</v>
      </c>
    </row>
    <row r="6" spans="1:29" x14ac:dyDescent="0.3">
      <c r="B6">
        <v>3</v>
      </c>
      <c r="C6" s="424" t="s">
        <v>722</v>
      </c>
      <c r="F6">
        <v>0</v>
      </c>
      <c r="G6">
        <v>7.02</v>
      </c>
      <c r="H6">
        <v>28.81</v>
      </c>
      <c r="I6">
        <v>30.41</v>
      </c>
      <c r="J6">
        <v>26.72</v>
      </c>
      <c r="K6">
        <v>62.31</v>
      </c>
      <c r="L6">
        <v>52.9</v>
      </c>
      <c r="M6">
        <v>81.83</v>
      </c>
      <c r="N6">
        <v>12.33</v>
      </c>
      <c r="O6">
        <v>16.73</v>
      </c>
      <c r="P6">
        <v>64.28</v>
      </c>
      <c r="Q6">
        <v>19.690000000000001</v>
      </c>
      <c r="R6">
        <v>61.64</v>
      </c>
      <c r="T6" t="s">
        <v>752</v>
      </c>
      <c r="U6">
        <f>AVERAGE(H4:H7,I4:I8,J4:J9,K4:K10,L4:L11,M4:M12,N4:N13,O4:O14,P4:P15,Q4:Q16,R4:R17)</f>
        <v>49.068080808080815</v>
      </c>
      <c r="V6">
        <f>AVERAGE(E4:R4,F5:R5,G6:R6,H7:R7,L8:R8,L9:R9,L10:R10,L11:R11,M12:R12,N13:R13,O14:R14,P15:R15,Q16:R16,R17)</f>
        <v>47.140101010100999</v>
      </c>
      <c r="W6">
        <f>AVERAGE(L4:L11,M4:M12,O4:O14,P4:P15,Q4:Q16,N12,R17,N13,R16,R15,R13,R12)</f>
        <v>53.475333333333325</v>
      </c>
      <c r="X6" s="154">
        <f>AVERAGE(E4:R4,F5:R5,G6:R6,H7:R7,I8:R8,J9:R9,K10:R10,L11,M11,N11,O11,Q11,M12,N12,O12,P12,Q12,R12,N13:R13,O14:R14,P15:R15,Q16,R17)</f>
        <v>47.399117647058809</v>
      </c>
      <c r="Y6">
        <v>47.002929292929274</v>
      </c>
    </row>
    <row r="7" spans="1:29" x14ac:dyDescent="0.3">
      <c r="B7">
        <v>4</v>
      </c>
      <c r="C7" s="424" t="s">
        <v>723</v>
      </c>
      <c r="G7">
        <v>0</v>
      </c>
      <c r="H7">
        <v>33.04</v>
      </c>
      <c r="I7">
        <v>34.51</v>
      </c>
      <c r="J7">
        <v>34.51</v>
      </c>
      <c r="K7">
        <v>64.319999999999993</v>
      </c>
      <c r="L7">
        <v>54.52</v>
      </c>
      <c r="M7">
        <v>84.3</v>
      </c>
      <c r="N7">
        <v>13.98</v>
      </c>
      <c r="O7">
        <v>21.86</v>
      </c>
      <c r="P7">
        <v>63.63</v>
      </c>
      <c r="Q7">
        <v>22.6</v>
      </c>
      <c r="R7">
        <v>63.97</v>
      </c>
      <c r="X7" s="154"/>
    </row>
    <row r="8" spans="1:29" x14ac:dyDescent="0.3">
      <c r="B8">
        <v>5</v>
      </c>
      <c r="C8" s="424" t="s">
        <v>724</v>
      </c>
      <c r="H8">
        <v>0</v>
      </c>
      <c r="I8">
        <v>8.91</v>
      </c>
      <c r="J8">
        <v>8.91</v>
      </c>
      <c r="K8">
        <v>62.51</v>
      </c>
      <c r="L8">
        <v>62.1</v>
      </c>
      <c r="M8">
        <v>32.31</v>
      </c>
      <c r="N8">
        <v>32.729999999999997</v>
      </c>
      <c r="O8">
        <v>27.05</v>
      </c>
      <c r="P8">
        <v>75.37</v>
      </c>
      <c r="Q8">
        <v>19.55</v>
      </c>
      <c r="R8">
        <v>60.75</v>
      </c>
      <c r="X8" s="154"/>
    </row>
    <row r="9" spans="1:29" x14ac:dyDescent="0.3">
      <c r="A9" t="s">
        <v>719</v>
      </c>
      <c r="B9">
        <v>6</v>
      </c>
      <c r="C9" s="424" t="s">
        <v>725</v>
      </c>
      <c r="I9">
        <v>0</v>
      </c>
      <c r="J9">
        <v>57.24</v>
      </c>
      <c r="K9">
        <v>64.430000000000007</v>
      </c>
      <c r="L9">
        <v>66.81</v>
      </c>
      <c r="M9">
        <v>87.35</v>
      </c>
      <c r="N9">
        <v>35.76</v>
      </c>
      <c r="O9">
        <v>30.65</v>
      </c>
      <c r="P9">
        <v>78.61</v>
      </c>
      <c r="Q9">
        <v>18.21</v>
      </c>
      <c r="R9">
        <v>63.25</v>
      </c>
      <c r="X9" s="154"/>
    </row>
    <row r="10" spans="1:29" x14ac:dyDescent="0.3">
      <c r="B10">
        <v>7</v>
      </c>
      <c r="C10" s="424" t="s">
        <v>726</v>
      </c>
      <c r="J10">
        <v>0</v>
      </c>
      <c r="K10">
        <v>57.24</v>
      </c>
      <c r="L10">
        <v>56.82</v>
      </c>
      <c r="M10">
        <v>77.72</v>
      </c>
      <c r="N10">
        <v>30.22</v>
      </c>
      <c r="O10">
        <v>24.38</v>
      </c>
      <c r="P10">
        <v>71.5</v>
      </c>
      <c r="Q10">
        <v>19.059999999999999</v>
      </c>
      <c r="R10">
        <v>55.46</v>
      </c>
      <c r="X10" s="154"/>
    </row>
    <row r="11" spans="1:29" x14ac:dyDescent="0.3">
      <c r="B11">
        <v>8</v>
      </c>
      <c r="C11" s="424" t="s">
        <v>727</v>
      </c>
      <c r="K11">
        <v>0</v>
      </c>
      <c r="L11">
        <v>73.349999999999994</v>
      </c>
      <c r="M11">
        <v>90.81</v>
      </c>
      <c r="N11">
        <v>66.47</v>
      </c>
      <c r="O11">
        <v>63.84</v>
      </c>
      <c r="P11">
        <v>36.04</v>
      </c>
      <c r="Q11">
        <v>57.24</v>
      </c>
      <c r="R11">
        <v>14.78</v>
      </c>
      <c r="X11" s="154"/>
    </row>
    <row r="12" spans="1:29" x14ac:dyDescent="0.3">
      <c r="B12">
        <v>9</v>
      </c>
      <c r="C12" s="424" t="s">
        <v>728</v>
      </c>
      <c r="L12">
        <v>0</v>
      </c>
      <c r="M12">
        <v>33.08</v>
      </c>
      <c r="N12">
        <v>43.97</v>
      </c>
      <c r="O12">
        <v>42.28</v>
      </c>
      <c r="P12">
        <v>74.16</v>
      </c>
      <c r="Q12">
        <v>66.25</v>
      </c>
      <c r="R12">
        <v>68.02</v>
      </c>
      <c r="X12" s="154"/>
    </row>
    <row r="13" spans="1:29" x14ac:dyDescent="0.3">
      <c r="B13">
        <v>10</v>
      </c>
      <c r="C13" s="424" t="s">
        <v>729</v>
      </c>
      <c r="M13">
        <v>0</v>
      </c>
      <c r="N13">
        <v>73.23</v>
      </c>
      <c r="O13">
        <v>68.72</v>
      </c>
      <c r="P13">
        <v>96.48</v>
      </c>
      <c r="Q13">
        <v>91.8</v>
      </c>
      <c r="R13">
        <v>83.43</v>
      </c>
      <c r="X13" s="154"/>
    </row>
    <row r="14" spans="1:29" x14ac:dyDescent="0.3">
      <c r="B14">
        <v>11</v>
      </c>
      <c r="C14" s="424" t="s">
        <v>730</v>
      </c>
      <c r="N14">
        <v>0</v>
      </c>
      <c r="O14">
        <v>11.54</v>
      </c>
      <c r="P14">
        <v>66.540000000000006</v>
      </c>
      <c r="Q14">
        <v>29.03</v>
      </c>
      <c r="R14">
        <v>65.400000000000006</v>
      </c>
      <c r="X14" s="154"/>
    </row>
    <row r="15" spans="1:29" x14ac:dyDescent="0.3">
      <c r="B15">
        <v>12</v>
      </c>
      <c r="C15" s="424" t="s">
        <v>731</v>
      </c>
      <c r="O15">
        <v>0</v>
      </c>
      <c r="P15">
        <v>68.650000000000006</v>
      </c>
      <c r="Q15">
        <v>28.22</v>
      </c>
      <c r="R15">
        <v>62.05</v>
      </c>
      <c r="X15" s="154"/>
    </row>
    <row r="16" spans="1:29" x14ac:dyDescent="0.3">
      <c r="B16">
        <v>13</v>
      </c>
      <c r="C16" s="424" t="s">
        <v>732</v>
      </c>
      <c r="P16">
        <v>0</v>
      </c>
      <c r="Q16">
        <v>66.42</v>
      </c>
      <c r="R16">
        <v>40.58</v>
      </c>
      <c r="X16" s="154"/>
    </row>
    <row r="17" spans="1:26" x14ac:dyDescent="0.3">
      <c r="B17">
        <v>14</v>
      </c>
      <c r="C17" s="424" t="s">
        <v>733</v>
      </c>
      <c r="Q17">
        <v>0</v>
      </c>
      <c r="R17">
        <v>58.2</v>
      </c>
      <c r="X17" s="154"/>
    </row>
    <row r="18" spans="1:26" x14ac:dyDescent="0.3">
      <c r="B18">
        <v>15</v>
      </c>
      <c r="C18" s="424" t="s">
        <v>734</v>
      </c>
      <c r="R18">
        <v>0</v>
      </c>
      <c r="X18" s="154"/>
    </row>
    <row r="19" spans="1:26" x14ac:dyDescent="0.3">
      <c r="X19" s="154"/>
    </row>
    <row r="20" spans="1:26" x14ac:dyDescent="0.3">
      <c r="X20" s="154"/>
    </row>
    <row r="21" spans="1:26" x14ac:dyDescent="0.3">
      <c r="D21" s="424" t="s">
        <v>720</v>
      </c>
      <c r="E21" s="424" t="s">
        <v>721</v>
      </c>
      <c r="F21" s="424" t="s">
        <v>722</v>
      </c>
      <c r="G21" s="424" t="s">
        <v>723</v>
      </c>
      <c r="H21" s="424" t="s">
        <v>724</v>
      </c>
      <c r="I21" s="424" t="s">
        <v>725</v>
      </c>
      <c r="J21" s="424" t="s">
        <v>726</v>
      </c>
      <c r="K21" s="424" t="s">
        <v>727</v>
      </c>
      <c r="L21" s="424" t="s">
        <v>728</v>
      </c>
      <c r="M21" s="424" t="s">
        <v>729</v>
      </c>
      <c r="N21" s="424" t="s">
        <v>730</v>
      </c>
      <c r="O21" s="424" t="s">
        <v>731</v>
      </c>
      <c r="P21" s="424" t="s">
        <v>732</v>
      </c>
      <c r="Q21" s="424" t="s">
        <v>733</v>
      </c>
      <c r="R21" s="424" t="s">
        <v>734</v>
      </c>
      <c r="U21" s="426" t="s">
        <v>736</v>
      </c>
      <c r="V21" s="426" t="s">
        <v>737</v>
      </c>
      <c r="W21" s="426" t="s">
        <v>745</v>
      </c>
      <c r="X21" s="440" t="s">
        <v>738</v>
      </c>
      <c r="Y21" s="426" t="s">
        <v>750</v>
      </c>
      <c r="Z21" s="426"/>
    </row>
    <row r="22" spans="1:26" x14ac:dyDescent="0.3">
      <c r="B22">
        <v>1</v>
      </c>
      <c r="C22" s="424" t="s">
        <v>720</v>
      </c>
      <c r="D22">
        <f>(D38/7.81)/$C$40*100</f>
        <v>0</v>
      </c>
      <c r="E22">
        <f t="shared" ref="E22:R22" si="0">(E38/7.81)/$C$40*100</f>
        <v>7.4329547481714924</v>
      </c>
      <c r="F22">
        <f t="shared" si="0"/>
        <v>33.234158745985738</v>
      </c>
      <c r="G22">
        <f t="shared" si="0"/>
        <v>7.4329547481714924</v>
      </c>
      <c r="H22">
        <f t="shared" si="0"/>
        <v>75.062374006182552</v>
      </c>
      <c r="I22">
        <f t="shared" si="0"/>
        <v>76.156855179088723</v>
      </c>
      <c r="J22">
        <f t="shared" si="0"/>
        <v>74.691202130153499</v>
      </c>
      <c r="K22">
        <f t="shared" si="0"/>
        <v>73.948858378095409</v>
      </c>
      <c r="L22">
        <f t="shared" si="0"/>
        <v>19.662592201949174</v>
      </c>
      <c r="M22">
        <f t="shared" si="0"/>
        <v>18.20645638060444</v>
      </c>
      <c r="N22">
        <f t="shared" si="0"/>
        <v>47.005587069422546</v>
      </c>
      <c r="O22">
        <f t="shared" si="0"/>
        <v>93.421106028234803</v>
      </c>
      <c r="P22">
        <f t="shared" si="0"/>
        <v>43.969591468056727</v>
      </c>
      <c r="Q22">
        <f t="shared" si="0"/>
        <v>60.377291834058845</v>
      </c>
      <c r="R22">
        <f t="shared" si="0"/>
        <v>37.897600265325082</v>
      </c>
      <c r="U22" s="349" t="s">
        <v>739</v>
      </c>
      <c r="V22" s="349" t="s">
        <v>740</v>
      </c>
      <c r="W22" s="349" t="s">
        <v>748</v>
      </c>
      <c r="X22" s="441" t="s">
        <v>749</v>
      </c>
      <c r="Y22" s="349" t="s">
        <v>746</v>
      </c>
      <c r="Z22" s="349"/>
    </row>
    <row r="23" spans="1:26" x14ac:dyDescent="0.3">
      <c r="B23">
        <v>2</v>
      </c>
      <c r="C23" s="424" t="s">
        <v>721</v>
      </c>
      <c r="E23">
        <f t="shared" ref="D23:R23" si="1">(E39/7.81)/$C$40*100</f>
        <v>0</v>
      </c>
      <c r="F23">
        <f t="shared" si="1"/>
        <v>30.645472841372872</v>
      </c>
      <c r="G23">
        <f t="shared" si="1"/>
        <v>0</v>
      </c>
      <c r="H23">
        <f t="shared" si="1"/>
        <v>76.156855179088723</v>
      </c>
      <c r="I23">
        <f t="shared" si="1"/>
        <v>77.946093966100563</v>
      </c>
      <c r="J23">
        <f t="shared" si="1"/>
        <v>75.062374006182552</v>
      </c>
      <c r="K23">
        <f t="shared" si="1"/>
        <v>73.568169274475849</v>
      </c>
      <c r="L23">
        <f t="shared" si="1"/>
        <v>18.20645638060444</v>
      </c>
      <c r="M23">
        <f t="shared" si="1"/>
        <v>12.876808929930897</v>
      </c>
      <c r="N23">
        <f t="shared" si="1"/>
        <v>49.8512381189786</v>
      </c>
      <c r="O23">
        <f t="shared" si="1"/>
        <v>94.886759077170041</v>
      </c>
      <c r="P23">
        <f t="shared" si="1"/>
        <v>40.705182404519178</v>
      </c>
      <c r="Q23">
        <f t="shared" si="1"/>
        <v>61.738255379498696</v>
      </c>
      <c r="R23">
        <f t="shared" si="1"/>
        <v>38.620909562202208</v>
      </c>
      <c r="T23" t="s">
        <v>751</v>
      </c>
      <c r="U23">
        <f>AVERAGE(E22,F22,F23,G22,G23,G24)</f>
        <v>18.231835654179079</v>
      </c>
      <c r="V23">
        <f>AVERAGE(I26,J26,K26,J27,K27,K28)</f>
        <v>22.665277506748286</v>
      </c>
      <c r="W23">
        <f>AVERAGE(E22:K22,N22,R22,F23:K23,N23,R23,G24:K24,N24,R24,H25:K25,N25,R25,I26:K26,N26,R26,J27:K27,N27,R27,K28,N28,R28,R32)</f>
        <v>48.870963677158301</v>
      </c>
      <c r="X23" s="439">
        <f>AVERAGE(P29,R34,R29)</f>
        <v>55.082540884550419</v>
      </c>
      <c r="Y23">
        <v>58.897362943737903</v>
      </c>
    </row>
    <row r="24" spans="1:26" x14ac:dyDescent="0.3">
      <c r="B24">
        <v>3</v>
      </c>
      <c r="C24" s="424" t="s">
        <v>722</v>
      </c>
      <c r="F24">
        <f t="shared" ref="D24:R24" si="2">(F40/7.81)/$C$40*100</f>
        <v>0</v>
      </c>
      <c r="G24">
        <f t="shared" si="2"/>
        <v>30.645472841372872</v>
      </c>
      <c r="H24">
        <f t="shared" si="2"/>
        <v>54.60985191422283</v>
      </c>
      <c r="I24">
        <f t="shared" si="2"/>
        <v>58.045571074389166</v>
      </c>
      <c r="J24">
        <f t="shared" si="2"/>
        <v>52.021166009609964</v>
      </c>
      <c r="K24">
        <f t="shared" si="2"/>
        <v>48.737722490891443</v>
      </c>
      <c r="L24">
        <f t="shared" si="2"/>
        <v>28.780096233637124</v>
      </c>
      <c r="M24">
        <f t="shared" si="2"/>
        <v>31.530575007288299</v>
      </c>
      <c r="N24">
        <f t="shared" si="2"/>
        <v>44.588211261438474</v>
      </c>
      <c r="O24">
        <f t="shared" si="2"/>
        <v>70.503621990338573</v>
      </c>
      <c r="P24">
        <f t="shared" si="2"/>
        <v>48.737722490891443</v>
      </c>
      <c r="Q24">
        <f t="shared" si="2"/>
        <v>43.331937219494002</v>
      </c>
      <c r="R24">
        <f t="shared" si="2"/>
        <v>50.403237319226925</v>
      </c>
      <c r="T24" t="s">
        <v>752</v>
      </c>
      <c r="U24">
        <f>AVERAGE(H22:H25,I22:I26,J22:J27,K22:K28,L22:L29,M22:M30,N22:N31,O22:O32,P22:P33,Q22:Q34,R22:R35)</f>
        <v>52.655167180915761</v>
      </c>
      <c r="V24">
        <f>AVERAGE(E22:R22,F23:R23,G24:R24,H25:R25,L26:R26,L27:R27,L28:R28,L29:R29,M30:R30,N31:R31,O32:R32,P33:R33,Q34:R34,R35)</f>
        <v>52.386473735305486</v>
      </c>
      <c r="W24">
        <f>AVERAGE(L22:L29,M22:M30,O22:O32,P22:P33,Q22:Q34,N30,R35,N31,R34,R33,R31,R30)</f>
        <v>51.649359651741534</v>
      </c>
      <c r="X24" s="154">
        <f>AVERAGE(E22:R22,F23:R23,G24:R24,H25:R25,I26:R26,J27:R27,K28:R28,L29,M29,N29,O29,Q29,M30,N30,O30,P30,Q30,R30,N31:R31,O32:R32,P33:R33,Q34,R35)</f>
        <v>50.558871982177266</v>
      </c>
      <c r="Y24">
        <v>50.190589769427326</v>
      </c>
    </row>
    <row r="25" spans="1:26" x14ac:dyDescent="0.3">
      <c r="B25">
        <v>4</v>
      </c>
      <c r="C25" s="424" t="s">
        <v>723</v>
      </c>
      <c r="G25">
        <f t="shared" ref="G25:R25" si="3">(G41/7.81)/$C$40*100</f>
        <v>0</v>
      </c>
      <c r="H25">
        <f t="shared" si="3"/>
        <v>76.156855179088723</v>
      </c>
      <c r="I25">
        <f t="shared" si="3"/>
        <v>77.946093966100563</v>
      </c>
      <c r="J25">
        <f t="shared" si="3"/>
        <v>77.946093966100563</v>
      </c>
      <c r="K25">
        <f t="shared" si="3"/>
        <v>73.568169274475849</v>
      </c>
      <c r="L25">
        <f t="shared" si="3"/>
        <v>18.20645638060444</v>
      </c>
      <c r="M25">
        <f t="shared" si="3"/>
        <v>12.876808929930897</v>
      </c>
      <c r="N25">
        <f t="shared" si="3"/>
        <v>49.8512381189786</v>
      </c>
      <c r="O25">
        <f t="shared" si="3"/>
        <v>94.886759077170041</v>
      </c>
      <c r="P25">
        <f t="shared" si="3"/>
        <v>40.705182404519178</v>
      </c>
      <c r="Q25">
        <f t="shared" si="3"/>
        <v>61.738255379498696</v>
      </c>
      <c r="R25">
        <f t="shared" si="3"/>
        <v>38.620909562202208</v>
      </c>
    </row>
    <row r="26" spans="1:26" x14ac:dyDescent="0.3">
      <c r="B26">
        <v>5</v>
      </c>
      <c r="C26" s="424" t="s">
        <v>724</v>
      </c>
      <c r="H26">
        <f t="shared" ref="H26:R26" si="4">(H42/7.81)/$C$40*100</f>
        <v>0</v>
      </c>
      <c r="I26">
        <f t="shared" si="4"/>
        <v>7.4329547481714924</v>
      </c>
      <c r="J26">
        <f t="shared" si="4"/>
        <v>7.4329547481714924</v>
      </c>
      <c r="K26">
        <f t="shared" si="4"/>
        <v>30.645472841372872</v>
      </c>
      <c r="L26">
        <f t="shared" si="4"/>
        <v>65.212043450026982</v>
      </c>
      <c r="M26">
        <f t="shared" si="4"/>
        <v>75.78568330305967</v>
      </c>
      <c r="N26">
        <f t="shared" si="4"/>
        <v>37.897600265325082</v>
      </c>
      <c r="O26">
        <f t="shared" si="4"/>
        <v>29.73181899268597</v>
      </c>
      <c r="P26">
        <f t="shared" si="4"/>
        <v>78.298231386948629</v>
      </c>
      <c r="Q26">
        <f t="shared" si="4"/>
        <v>21.023555747389025</v>
      </c>
      <c r="R26">
        <f t="shared" si="4"/>
        <v>72.816308294827266</v>
      </c>
    </row>
    <row r="27" spans="1:26" x14ac:dyDescent="0.3">
      <c r="B27">
        <v>6</v>
      </c>
      <c r="C27" s="424" t="s">
        <v>725</v>
      </c>
      <c r="I27">
        <f t="shared" ref="I27:R27" si="5">(I43/7.81)/$C$40*100</f>
        <v>0</v>
      </c>
      <c r="J27">
        <f t="shared" si="5"/>
        <v>27.809339019407304</v>
      </c>
      <c r="K27">
        <f t="shared" si="5"/>
        <v>34.861604663959262</v>
      </c>
      <c r="L27">
        <f t="shared" si="5"/>
        <v>67.296316292343946</v>
      </c>
      <c r="M27">
        <f t="shared" si="5"/>
        <v>78.298231386948629</v>
      </c>
      <c r="N27">
        <f t="shared" si="5"/>
        <v>37.155256513266984</v>
      </c>
      <c r="O27">
        <f t="shared" si="5"/>
        <v>28.780096233637124</v>
      </c>
      <c r="P27">
        <f t="shared" si="5"/>
        <v>81.410364809038356</v>
      </c>
      <c r="Q27">
        <f t="shared" si="5"/>
        <v>22.29886424451448</v>
      </c>
      <c r="R27">
        <f t="shared" si="5"/>
        <v>73.948858378095409</v>
      </c>
    </row>
    <row r="28" spans="1:26" x14ac:dyDescent="0.3">
      <c r="A28" t="s">
        <v>717</v>
      </c>
      <c r="B28">
        <v>7</v>
      </c>
      <c r="C28" s="424" t="s">
        <v>726</v>
      </c>
      <c r="J28">
        <f t="shared" ref="J28:R28" si="6">(J44/7.81)/$C$40*100</f>
        <v>0</v>
      </c>
      <c r="K28">
        <f t="shared" si="6"/>
        <v>27.809339019407304</v>
      </c>
      <c r="L28">
        <f t="shared" si="6"/>
        <v>63.927217725311046</v>
      </c>
      <c r="M28">
        <f t="shared" si="6"/>
        <v>73.948858378095409</v>
      </c>
      <c r="N28">
        <f t="shared" si="6"/>
        <v>40.019942018004009</v>
      </c>
      <c r="O28">
        <f t="shared" si="6"/>
        <v>32.396642718022747</v>
      </c>
      <c r="P28">
        <f t="shared" si="6"/>
        <v>75.78568330305967</v>
      </c>
      <c r="Q28">
        <f t="shared" si="6"/>
        <v>22.29886424451448</v>
      </c>
      <c r="R28">
        <f t="shared" si="6"/>
        <v>72.435619191207735</v>
      </c>
    </row>
    <row r="29" spans="1:26" x14ac:dyDescent="0.3">
      <c r="B29">
        <v>8</v>
      </c>
      <c r="C29" s="424" t="s">
        <v>727</v>
      </c>
      <c r="K29">
        <f t="shared" ref="K29:R29" si="7">(K45/7.81)/$C$40*100</f>
        <v>0</v>
      </c>
      <c r="L29">
        <f t="shared" si="7"/>
        <v>63.927217725311046</v>
      </c>
      <c r="M29">
        <f t="shared" si="7"/>
        <v>73.196997398446811</v>
      </c>
      <c r="N29">
        <f t="shared" si="7"/>
        <v>50.945719291884771</v>
      </c>
      <c r="O29">
        <f t="shared" si="7"/>
        <v>42.694282970931269</v>
      </c>
      <c r="P29">
        <f t="shared" si="7"/>
        <v>72.054930087588176</v>
      </c>
      <c r="Q29">
        <f t="shared" si="7"/>
        <v>37.155256513266984</v>
      </c>
      <c r="R29">
        <f t="shared" si="7"/>
        <v>70.893828321548597</v>
      </c>
    </row>
    <row r="30" spans="1:26" x14ac:dyDescent="0.3">
      <c r="B30">
        <v>9</v>
      </c>
      <c r="C30" s="424" t="s">
        <v>728</v>
      </c>
      <c r="L30">
        <f t="shared" ref="L30:R30" si="8">(L46/7.81)/$C$40*100</f>
        <v>0</v>
      </c>
      <c r="M30">
        <f t="shared" si="8"/>
        <v>19.662592201949174</v>
      </c>
      <c r="N30">
        <f t="shared" si="8"/>
        <v>38.620909562202208</v>
      </c>
      <c r="O30">
        <f t="shared" si="8"/>
        <v>87.615597198036838</v>
      </c>
      <c r="P30">
        <f t="shared" si="8"/>
        <v>41.228629921996038</v>
      </c>
      <c r="Q30">
        <f t="shared" si="8"/>
        <v>54.105438851926948</v>
      </c>
      <c r="R30">
        <f t="shared" si="8"/>
        <v>37.155256513266984</v>
      </c>
    </row>
    <row r="31" spans="1:26" x14ac:dyDescent="0.3">
      <c r="B31">
        <v>10</v>
      </c>
      <c r="C31" s="424" t="s">
        <v>729</v>
      </c>
      <c r="M31">
        <f t="shared" ref="M31:R31" si="9">(M47/7.81)/$C$40*100</f>
        <v>0</v>
      </c>
      <c r="N31">
        <f t="shared" si="9"/>
        <v>50.136754946693252</v>
      </c>
      <c r="O31">
        <f t="shared" si="9"/>
        <v>95.172275904884685</v>
      </c>
      <c r="P31">
        <f t="shared" si="9"/>
        <v>34.052640318767743</v>
      </c>
      <c r="Q31">
        <f t="shared" si="9"/>
        <v>61.281428455155243</v>
      </c>
      <c r="R31">
        <f t="shared" si="9"/>
        <v>36.412912761208879</v>
      </c>
    </row>
    <row r="32" spans="1:26" x14ac:dyDescent="0.3">
      <c r="B32">
        <v>11</v>
      </c>
      <c r="C32" s="424" t="s">
        <v>730</v>
      </c>
      <c r="N32">
        <f t="shared" ref="N32:R32" si="10">(N48/7.81)/$C$40*100</f>
        <v>0</v>
      </c>
      <c r="O32">
        <f t="shared" si="10"/>
        <v>62.176047848661163</v>
      </c>
      <c r="P32">
        <f t="shared" si="10"/>
        <v>55.114264976518712</v>
      </c>
      <c r="Q32">
        <f t="shared" si="10"/>
        <v>27.809339019407304</v>
      </c>
      <c r="R32">
        <f t="shared" si="10"/>
        <v>43.331937219494002</v>
      </c>
    </row>
    <row r="33" spans="2:18" x14ac:dyDescent="0.3">
      <c r="B33">
        <v>12</v>
      </c>
      <c r="C33" s="424" t="s">
        <v>731</v>
      </c>
      <c r="O33">
        <f t="shared" ref="O33:R33" si="11">(O49/7.81)/$C$40*100</f>
        <v>0</v>
      </c>
      <c r="P33">
        <f>(P49/7.81)/$C$40*100</f>
        <v>99.987993065671859</v>
      </c>
      <c r="Q33">
        <f t="shared" si="11"/>
        <v>39.325184403898348</v>
      </c>
      <c r="R33">
        <f t="shared" si="11"/>
        <v>94.001656911254599</v>
      </c>
    </row>
    <row r="34" spans="2:18" x14ac:dyDescent="0.3">
      <c r="B34">
        <v>13</v>
      </c>
      <c r="C34" s="424" t="s">
        <v>732</v>
      </c>
      <c r="P34">
        <f t="shared" ref="P34:R34" si="12">(P50/7.81)/$C$40*100</f>
        <v>0</v>
      </c>
      <c r="Q34">
        <f t="shared" si="12"/>
        <v>64.365010194473498</v>
      </c>
      <c r="R34">
        <f t="shared" si="12"/>
        <v>22.29886424451448</v>
      </c>
    </row>
    <row r="35" spans="2:18" x14ac:dyDescent="0.3">
      <c r="B35">
        <v>14</v>
      </c>
      <c r="C35" s="424" t="s">
        <v>733</v>
      </c>
      <c r="Q35">
        <f t="shared" ref="Q35:R35" si="13">(Q51/7.81)/$C$40*100</f>
        <v>0</v>
      </c>
      <c r="R35">
        <f t="shared" si="13"/>
        <v>57.569709694864748</v>
      </c>
    </row>
    <row r="36" spans="2:18" x14ac:dyDescent="0.3">
      <c r="B36">
        <v>15</v>
      </c>
      <c r="C36" s="424" t="s">
        <v>734</v>
      </c>
      <c r="R36">
        <f t="shared" ref="R36" si="14">(R52/7.81)/$C$40*100</f>
        <v>0</v>
      </c>
    </row>
    <row r="38" spans="2:18" x14ac:dyDescent="0.3">
      <c r="D38">
        <v>0</v>
      </c>
      <c r="E38">
        <v>7.81</v>
      </c>
      <c r="F38">
        <v>34.92</v>
      </c>
      <c r="G38">
        <v>7.81</v>
      </c>
      <c r="H38">
        <v>78.87</v>
      </c>
      <c r="I38">
        <v>80.02</v>
      </c>
      <c r="J38">
        <v>78.48</v>
      </c>
      <c r="K38">
        <v>77.7</v>
      </c>
      <c r="L38">
        <v>20.66</v>
      </c>
      <c r="M38">
        <v>19.13</v>
      </c>
      <c r="N38">
        <v>49.39</v>
      </c>
      <c r="O38">
        <v>98.16</v>
      </c>
      <c r="P38">
        <v>46.2</v>
      </c>
      <c r="Q38">
        <v>63.44</v>
      </c>
      <c r="R38">
        <v>39.82</v>
      </c>
    </row>
    <row r="39" spans="2:18" ht="17.25" thickBot="1" x14ac:dyDescent="0.35">
      <c r="E39">
        <v>0</v>
      </c>
      <c r="F39">
        <v>32.200000000000003</v>
      </c>
      <c r="G39">
        <v>0</v>
      </c>
      <c r="H39">
        <v>80.02</v>
      </c>
      <c r="I39">
        <v>81.900000000000006</v>
      </c>
      <c r="J39">
        <v>78.87</v>
      </c>
      <c r="K39">
        <v>77.3</v>
      </c>
      <c r="L39">
        <v>19.13</v>
      </c>
      <c r="M39">
        <v>13.53</v>
      </c>
      <c r="N39">
        <v>52.38</v>
      </c>
      <c r="O39">
        <v>99.7</v>
      </c>
      <c r="P39">
        <v>42.77</v>
      </c>
      <c r="Q39">
        <v>64.87</v>
      </c>
      <c r="R39">
        <v>40.58</v>
      </c>
    </row>
    <row r="40" spans="2:18" ht="17.25" thickBot="1" x14ac:dyDescent="0.35">
      <c r="C40" s="423">
        <v>13.4536</v>
      </c>
      <c r="F40">
        <v>0</v>
      </c>
      <c r="G40">
        <v>32.200000000000003</v>
      </c>
      <c r="H40">
        <v>57.38</v>
      </c>
      <c r="I40">
        <v>60.99</v>
      </c>
      <c r="J40">
        <v>54.66</v>
      </c>
      <c r="K40">
        <v>51.21</v>
      </c>
      <c r="L40">
        <v>30.24</v>
      </c>
      <c r="M40">
        <v>33.130000000000003</v>
      </c>
      <c r="N40">
        <v>46.85</v>
      </c>
      <c r="O40">
        <v>74.08</v>
      </c>
      <c r="P40">
        <v>51.21</v>
      </c>
      <c r="Q40">
        <v>45.53</v>
      </c>
      <c r="R40">
        <v>52.96</v>
      </c>
    </row>
    <row r="41" spans="2:18" x14ac:dyDescent="0.3">
      <c r="G41">
        <v>0</v>
      </c>
      <c r="H41">
        <v>80.02</v>
      </c>
      <c r="I41">
        <v>81.900000000000006</v>
      </c>
      <c r="J41">
        <v>81.900000000000006</v>
      </c>
      <c r="K41">
        <v>77.3</v>
      </c>
      <c r="L41">
        <v>19.13</v>
      </c>
      <c r="M41">
        <v>13.53</v>
      </c>
      <c r="N41">
        <v>52.38</v>
      </c>
      <c r="O41">
        <v>99.7</v>
      </c>
      <c r="P41">
        <v>42.77</v>
      </c>
      <c r="Q41">
        <v>64.87</v>
      </c>
      <c r="R41">
        <v>40.58</v>
      </c>
    </row>
    <row r="42" spans="2:18" x14ac:dyDescent="0.3">
      <c r="H42">
        <v>0</v>
      </c>
      <c r="I42">
        <v>7.81</v>
      </c>
      <c r="J42">
        <v>7.81</v>
      </c>
      <c r="K42">
        <v>32.200000000000003</v>
      </c>
      <c r="L42">
        <v>68.52</v>
      </c>
      <c r="M42">
        <v>79.63</v>
      </c>
      <c r="N42">
        <v>39.82</v>
      </c>
      <c r="O42">
        <v>31.24</v>
      </c>
      <c r="P42">
        <v>82.27</v>
      </c>
      <c r="Q42">
        <v>22.09</v>
      </c>
      <c r="R42">
        <v>76.510000000000005</v>
      </c>
    </row>
    <row r="43" spans="2:18" x14ac:dyDescent="0.3">
      <c r="I43">
        <v>0</v>
      </c>
      <c r="J43">
        <v>29.22</v>
      </c>
      <c r="K43">
        <v>36.630000000000003</v>
      </c>
      <c r="L43">
        <v>70.709999999999994</v>
      </c>
      <c r="M43">
        <v>82.27</v>
      </c>
      <c r="N43">
        <v>39.04</v>
      </c>
      <c r="O43">
        <v>30.24</v>
      </c>
      <c r="P43">
        <v>85.54</v>
      </c>
      <c r="Q43">
        <v>23.43</v>
      </c>
      <c r="R43">
        <v>77.7</v>
      </c>
    </row>
    <row r="44" spans="2:18" x14ac:dyDescent="0.3">
      <c r="J44">
        <v>0</v>
      </c>
      <c r="K44">
        <v>29.22</v>
      </c>
      <c r="L44">
        <v>67.17</v>
      </c>
      <c r="M44">
        <v>77.7</v>
      </c>
      <c r="N44">
        <v>42.05</v>
      </c>
      <c r="O44">
        <v>34.04</v>
      </c>
      <c r="P44">
        <v>79.63</v>
      </c>
      <c r="Q44">
        <v>23.43</v>
      </c>
      <c r="R44">
        <v>76.11</v>
      </c>
    </row>
    <row r="45" spans="2:18" x14ac:dyDescent="0.3">
      <c r="K45">
        <v>0</v>
      </c>
      <c r="L45">
        <v>67.17</v>
      </c>
      <c r="M45">
        <v>76.91</v>
      </c>
      <c r="N45">
        <v>53.53</v>
      </c>
      <c r="O45">
        <v>44.86</v>
      </c>
      <c r="P45">
        <v>75.709999999999994</v>
      </c>
      <c r="Q45">
        <v>39.04</v>
      </c>
      <c r="R45">
        <v>74.489999999999995</v>
      </c>
    </row>
    <row r="46" spans="2:18" x14ac:dyDescent="0.3">
      <c r="L46">
        <v>0</v>
      </c>
      <c r="M46">
        <v>20.66</v>
      </c>
      <c r="N46">
        <v>40.58</v>
      </c>
      <c r="O46">
        <v>92.06</v>
      </c>
      <c r="P46">
        <v>43.32</v>
      </c>
      <c r="Q46">
        <v>56.85</v>
      </c>
      <c r="R46">
        <v>39.04</v>
      </c>
    </row>
    <row r="47" spans="2:18" x14ac:dyDescent="0.3">
      <c r="M47">
        <v>0</v>
      </c>
      <c r="N47">
        <v>52.68</v>
      </c>
      <c r="O47">
        <v>100</v>
      </c>
      <c r="P47">
        <v>35.78</v>
      </c>
      <c r="Q47">
        <v>64.39</v>
      </c>
      <c r="R47">
        <v>38.26</v>
      </c>
    </row>
    <row r="48" spans="2:18" x14ac:dyDescent="0.3">
      <c r="N48">
        <v>0</v>
      </c>
      <c r="O48">
        <v>65.33</v>
      </c>
      <c r="P48">
        <v>57.91</v>
      </c>
      <c r="Q48">
        <v>29.22</v>
      </c>
      <c r="R48">
        <v>45.53</v>
      </c>
    </row>
    <row r="49" spans="15:18" x14ac:dyDescent="0.3">
      <c r="O49">
        <v>0</v>
      </c>
      <c r="P49">
        <v>105.06</v>
      </c>
      <c r="Q49">
        <v>41.32</v>
      </c>
      <c r="R49">
        <v>98.77</v>
      </c>
    </row>
    <row r="50" spans="15:18" x14ac:dyDescent="0.3">
      <c r="P50">
        <v>0</v>
      </c>
      <c r="Q50">
        <v>67.63</v>
      </c>
      <c r="R50">
        <v>23.43</v>
      </c>
    </row>
    <row r="51" spans="15:18" x14ac:dyDescent="0.3">
      <c r="Q51">
        <v>0</v>
      </c>
      <c r="R51">
        <v>60.49</v>
      </c>
    </row>
    <row r="52" spans="15:18" x14ac:dyDescent="0.3">
      <c r="R52">
        <v>0</v>
      </c>
    </row>
  </sheetData>
  <mergeCells count="1">
    <mergeCell ref="T2:Y2"/>
  </mergeCells>
  <phoneticPr fontId="1" type="noConversion"/>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39"/>
  <sheetViews>
    <sheetView tabSelected="1" zoomScale="85" zoomScaleNormal="85" workbookViewId="0">
      <selection activeCell="O15" sqref="O15"/>
    </sheetView>
  </sheetViews>
  <sheetFormatPr defaultRowHeight="16.5" x14ac:dyDescent="0.3"/>
  <cols>
    <col min="22" max="22" width="18.125" customWidth="1"/>
    <col min="23" max="23" width="21" customWidth="1"/>
  </cols>
  <sheetData>
    <row r="1" spans="1:24" x14ac:dyDescent="0.3">
      <c r="C1" t="s">
        <v>753</v>
      </c>
      <c r="D1" s="87">
        <v>1</v>
      </c>
      <c r="E1" s="87">
        <v>1</v>
      </c>
      <c r="F1" s="428">
        <v>2</v>
      </c>
      <c r="G1" s="87">
        <v>1</v>
      </c>
      <c r="H1" s="427">
        <v>7</v>
      </c>
      <c r="I1" s="427">
        <v>7</v>
      </c>
      <c r="J1" s="427">
        <v>7</v>
      </c>
      <c r="K1" s="427">
        <v>7</v>
      </c>
      <c r="L1" s="430">
        <v>5</v>
      </c>
      <c r="M1" s="429">
        <v>10</v>
      </c>
      <c r="N1" s="428">
        <v>2</v>
      </c>
      <c r="O1" s="431">
        <v>4</v>
      </c>
      <c r="P1" s="430">
        <v>5</v>
      </c>
      <c r="Q1" s="429">
        <v>10</v>
      </c>
      <c r="R1" s="428">
        <v>2</v>
      </c>
    </row>
    <row r="2" spans="1:24" x14ac:dyDescent="0.3">
      <c r="C2" t="s">
        <v>754</v>
      </c>
      <c r="D2" s="433">
        <v>2</v>
      </c>
      <c r="E2" s="433">
        <v>2</v>
      </c>
      <c r="F2" s="433">
        <v>2</v>
      </c>
      <c r="G2" s="433">
        <v>2</v>
      </c>
      <c r="H2" s="432">
        <v>1</v>
      </c>
      <c r="I2" s="432">
        <v>1</v>
      </c>
      <c r="J2" s="433">
        <v>2</v>
      </c>
      <c r="K2" s="434">
        <v>13</v>
      </c>
      <c r="L2" s="433">
        <v>2</v>
      </c>
      <c r="M2" s="432">
        <v>1</v>
      </c>
      <c r="N2" s="432">
        <v>1</v>
      </c>
      <c r="O2" s="432">
        <v>1</v>
      </c>
      <c r="P2" s="433">
        <v>2</v>
      </c>
      <c r="Q2" s="432">
        <v>1</v>
      </c>
      <c r="R2" s="432">
        <v>1</v>
      </c>
    </row>
    <row r="3" spans="1:24" x14ac:dyDescent="0.3">
      <c r="D3">
        <v>1</v>
      </c>
      <c r="E3">
        <v>2</v>
      </c>
      <c r="F3">
        <v>3</v>
      </c>
      <c r="G3">
        <v>4</v>
      </c>
      <c r="H3">
        <v>5</v>
      </c>
      <c r="I3">
        <v>6</v>
      </c>
      <c r="J3">
        <v>7</v>
      </c>
      <c r="K3">
        <v>8</v>
      </c>
      <c r="L3">
        <v>9</v>
      </c>
      <c r="M3">
        <v>10</v>
      </c>
      <c r="N3">
        <v>11</v>
      </c>
      <c r="O3">
        <v>12</v>
      </c>
      <c r="P3">
        <v>13</v>
      </c>
      <c r="Q3">
        <v>14</v>
      </c>
      <c r="R3">
        <v>15</v>
      </c>
    </row>
    <row r="4" spans="1:24" x14ac:dyDescent="0.3">
      <c r="D4" t="s">
        <v>720</v>
      </c>
      <c r="E4" t="s">
        <v>721</v>
      </c>
      <c r="F4" t="s">
        <v>722</v>
      </c>
      <c r="G4" t="s">
        <v>723</v>
      </c>
      <c r="H4" t="s">
        <v>724</v>
      </c>
      <c r="I4" t="s">
        <v>725</v>
      </c>
      <c r="J4" t="s">
        <v>726</v>
      </c>
      <c r="K4" t="s">
        <v>727</v>
      </c>
      <c r="L4" t="s">
        <v>728</v>
      </c>
      <c r="M4" t="s">
        <v>729</v>
      </c>
      <c r="N4" t="s">
        <v>730</v>
      </c>
      <c r="O4" t="s">
        <v>731</v>
      </c>
      <c r="P4" t="s">
        <v>732</v>
      </c>
      <c r="Q4" t="s">
        <v>733</v>
      </c>
      <c r="R4" t="s">
        <v>747</v>
      </c>
      <c r="V4" s="426"/>
      <c r="W4" s="426"/>
    </row>
    <row r="5" spans="1:24" x14ac:dyDescent="0.3">
      <c r="B5">
        <v>1</v>
      </c>
      <c r="C5" t="s">
        <v>720</v>
      </c>
      <c r="D5" s="425">
        <v>0</v>
      </c>
      <c r="E5" s="425">
        <v>12.43</v>
      </c>
      <c r="F5" s="425">
        <v>9.0500000000000007</v>
      </c>
      <c r="G5" s="425">
        <v>5.09</v>
      </c>
      <c r="H5" s="425">
        <v>31.9</v>
      </c>
      <c r="I5" s="425">
        <v>32.659999999999997</v>
      </c>
      <c r="J5" s="425">
        <v>30.62</v>
      </c>
      <c r="K5" s="425">
        <v>64.92</v>
      </c>
      <c r="L5" s="425">
        <v>5.23</v>
      </c>
      <c r="M5" s="425">
        <v>88.56</v>
      </c>
      <c r="N5" s="425">
        <v>18.149999999999999</v>
      </c>
      <c r="O5" s="425">
        <v>24.89</v>
      </c>
      <c r="P5" s="425">
        <v>64.989999999999995</v>
      </c>
      <c r="Q5" s="425">
        <v>19.7</v>
      </c>
      <c r="R5" s="425">
        <v>64.94</v>
      </c>
      <c r="V5" s="349"/>
      <c r="W5" s="349"/>
    </row>
    <row r="6" spans="1:24" x14ac:dyDescent="0.3">
      <c r="B6">
        <v>2</v>
      </c>
      <c r="C6" t="s">
        <v>721</v>
      </c>
      <c r="D6" s="425"/>
      <c r="E6" s="425">
        <v>0</v>
      </c>
      <c r="F6" s="425">
        <v>18.059999999999999</v>
      </c>
      <c r="G6" s="425">
        <v>16.72</v>
      </c>
      <c r="H6" s="425">
        <v>31.05</v>
      </c>
      <c r="I6" s="425">
        <v>30.98</v>
      </c>
      <c r="J6" s="425">
        <v>32.29</v>
      </c>
      <c r="K6" s="425">
        <v>66.44</v>
      </c>
      <c r="L6" s="425">
        <v>69.069999999999993</v>
      </c>
      <c r="M6" s="425">
        <v>97.28</v>
      </c>
      <c r="N6" s="425">
        <v>26.81</v>
      </c>
      <c r="O6" s="425">
        <v>31.47</v>
      </c>
      <c r="P6" s="425">
        <v>66.8</v>
      </c>
      <c r="Q6" s="425">
        <v>16.77</v>
      </c>
      <c r="R6" s="425">
        <v>67.849999999999994</v>
      </c>
      <c r="V6" s="425"/>
      <c r="W6" s="425"/>
      <c r="X6" s="438"/>
    </row>
    <row r="7" spans="1:24" x14ac:dyDescent="0.3">
      <c r="B7">
        <v>3</v>
      </c>
      <c r="C7" t="s">
        <v>722</v>
      </c>
      <c r="D7" s="425"/>
      <c r="E7" s="425"/>
      <c r="F7" s="425">
        <v>0</v>
      </c>
      <c r="G7" s="425">
        <v>7.02</v>
      </c>
      <c r="H7" s="425">
        <v>28.81</v>
      </c>
      <c r="I7" s="425">
        <v>30.41</v>
      </c>
      <c r="J7" s="425">
        <v>26.72</v>
      </c>
      <c r="K7" s="425">
        <v>62.31</v>
      </c>
      <c r="L7" s="425">
        <v>52.9</v>
      </c>
      <c r="M7" s="425">
        <v>81.83</v>
      </c>
      <c r="N7" s="425">
        <v>12.33</v>
      </c>
      <c r="O7" s="425">
        <v>16.73</v>
      </c>
      <c r="P7" s="425">
        <v>64.28</v>
      </c>
      <c r="Q7" s="425">
        <v>19.690000000000001</v>
      </c>
      <c r="R7" s="425">
        <v>61.64</v>
      </c>
      <c r="V7" s="425"/>
      <c r="W7" s="425"/>
      <c r="X7" s="437"/>
    </row>
    <row r="8" spans="1:24" x14ac:dyDescent="0.3">
      <c r="B8">
        <v>4</v>
      </c>
      <c r="C8" t="s">
        <v>723</v>
      </c>
      <c r="D8" s="425"/>
      <c r="E8" s="425"/>
      <c r="F8" s="425"/>
      <c r="G8" s="425">
        <v>0</v>
      </c>
      <c r="H8" s="425">
        <v>33.04</v>
      </c>
      <c r="I8" s="425">
        <v>34.51</v>
      </c>
      <c r="J8" s="425">
        <v>34.51</v>
      </c>
      <c r="K8" s="425">
        <v>64.319999999999993</v>
      </c>
      <c r="L8" s="425">
        <v>54.52</v>
      </c>
      <c r="M8" s="425">
        <v>84.3</v>
      </c>
      <c r="N8" s="425">
        <v>13.98</v>
      </c>
      <c r="O8" s="425">
        <v>21.86</v>
      </c>
      <c r="P8" s="425">
        <v>63.63</v>
      </c>
      <c r="Q8" s="425">
        <v>22.6</v>
      </c>
      <c r="R8" s="425">
        <v>63.97</v>
      </c>
    </row>
    <row r="9" spans="1:24" x14ac:dyDescent="0.3">
      <c r="B9">
        <v>5</v>
      </c>
      <c r="C9" t="s">
        <v>724</v>
      </c>
      <c r="D9" s="425"/>
      <c r="E9" s="425"/>
      <c r="F9" s="425"/>
      <c r="G9" s="425"/>
      <c r="H9" s="425">
        <v>0</v>
      </c>
      <c r="I9" s="425">
        <v>8.91</v>
      </c>
      <c r="J9" s="425">
        <v>8.91</v>
      </c>
      <c r="K9" s="425">
        <v>62.51</v>
      </c>
      <c r="L9" s="425">
        <v>62.1</v>
      </c>
      <c r="M9" s="425">
        <v>32.31</v>
      </c>
      <c r="N9" s="425">
        <v>32.729999999999997</v>
      </c>
      <c r="O9" s="425">
        <v>27.05</v>
      </c>
      <c r="P9" s="425">
        <v>75.37</v>
      </c>
      <c r="Q9" s="425">
        <v>19.55</v>
      </c>
      <c r="R9" s="425">
        <v>60.75</v>
      </c>
    </row>
    <row r="10" spans="1:24" x14ac:dyDescent="0.3">
      <c r="A10" t="s">
        <v>718</v>
      </c>
      <c r="B10">
        <v>6</v>
      </c>
      <c r="C10" t="s">
        <v>725</v>
      </c>
      <c r="D10" s="425"/>
      <c r="E10" s="425"/>
      <c r="F10" s="425"/>
      <c r="G10" s="425"/>
      <c r="H10" s="425"/>
      <c r="I10" s="425">
        <v>0</v>
      </c>
      <c r="J10" s="425">
        <v>57.24</v>
      </c>
      <c r="K10" s="425">
        <v>64.430000000000007</v>
      </c>
      <c r="L10" s="425">
        <v>66.81</v>
      </c>
      <c r="M10" s="425">
        <v>87.35</v>
      </c>
      <c r="N10" s="425">
        <v>35.76</v>
      </c>
      <c r="O10" s="425">
        <v>30.65</v>
      </c>
      <c r="P10" s="425">
        <v>78.61</v>
      </c>
      <c r="Q10" s="425">
        <v>18.21</v>
      </c>
      <c r="R10" s="425">
        <v>63.25</v>
      </c>
    </row>
    <row r="11" spans="1:24" x14ac:dyDescent="0.3">
      <c r="B11">
        <v>7</v>
      </c>
      <c r="C11" t="s">
        <v>726</v>
      </c>
      <c r="D11" s="425"/>
      <c r="E11" s="425"/>
      <c r="F11" s="425"/>
      <c r="G11" s="425"/>
      <c r="H11" s="425"/>
      <c r="I11" s="425"/>
      <c r="J11" s="425">
        <v>0</v>
      </c>
      <c r="K11" s="425">
        <v>57.24</v>
      </c>
      <c r="L11" s="425">
        <v>56.82</v>
      </c>
      <c r="M11" s="425">
        <v>77.72</v>
      </c>
      <c r="N11" s="425">
        <v>30.22</v>
      </c>
      <c r="O11" s="425">
        <v>24.38</v>
      </c>
      <c r="P11" s="425">
        <v>71.5</v>
      </c>
      <c r="Q11" s="425">
        <v>19.059999999999999</v>
      </c>
      <c r="R11" s="425">
        <v>55.46</v>
      </c>
    </row>
    <row r="12" spans="1:24" x14ac:dyDescent="0.3">
      <c r="B12">
        <v>8</v>
      </c>
      <c r="C12" t="s">
        <v>727</v>
      </c>
      <c r="D12" s="425"/>
      <c r="E12" s="425"/>
      <c r="F12" s="425"/>
      <c r="G12" s="425"/>
      <c r="H12" s="425"/>
      <c r="I12" s="425"/>
      <c r="J12" s="425"/>
      <c r="K12" s="435">
        <v>0</v>
      </c>
      <c r="L12" s="425">
        <v>73.349999999999994</v>
      </c>
      <c r="M12" s="425">
        <v>90.81</v>
      </c>
      <c r="N12" s="425">
        <v>66.47</v>
      </c>
      <c r="O12" s="425">
        <v>63.84</v>
      </c>
      <c r="P12" s="435">
        <v>36.04</v>
      </c>
      <c r="Q12" s="425">
        <v>57.24</v>
      </c>
      <c r="R12" s="435">
        <v>14.78</v>
      </c>
    </row>
    <row r="13" spans="1:24" x14ac:dyDescent="0.3">
      <c r="B13">
        <v>9</v>
      </c>
      <c r="C13" t="s">
        <v>728</v>
      </c>
      <c r="D13" s="425"/>
      <c r="E13" s="425"/>
      <c r="F13" s="425"/>
      <c r="G13" s="425"/>
      <c r="H13" s="425"/>
      <c r="I13" s="425"/>
      <c r="J13" s="425"/>
      <c r="K13" s="425"/>
      <c r="L13" s="425">
        <v>0</v>
      </c>
      <c r="M13" s="425">
        <v>33.08</v>
      </c>
      <c r="N13" s="425">
        <v>43.97</v>
      </c>
      <c r="O13" s="425">
        <v>42.28</v>
      </c>
      <c r="P13" s="425">
        <v>74.16</v>
      </c>
      <c r="Q13" s="425">
        <v>66.25</v>
      </c>
      <c r="R13" s="425">
        <v>68.02</v>
      </c>
    </row>
    <row r="14" spans="1:24" x14ac:dyDescent="0.3">
      <c r="B14">
        <v>10</v>
      </c>
      <c r="C14" t="s">
        <v>729</v>
      </c>
      <c r="D14" s="425"/>
      <c r="E14" s="425"/>
      <c r="F14" s="425"/>
      <c r="G14" s="425"/>
      <c r="H14" s="425"/>
      <c r="I14" s="425"/>
      <c r="J14" s="425"/>
      <c r="K14" s="425"/>
      <c r="L14" s="425"/>
      <c r="M14" s="425">
        <v>0</v>
      </c>
      <c r="N14" s="425">
        <v>73.23</v>
      </c>
      <c r="O14" s="425">
        <v>68.72</v>
      </c>
      <c r="P14" s="425">
        <v>96.48</v>
      </c>
      <c r="Q14" s="425">
        <v>91.8</v>
      </c>
      <c r="R14" s="425">
        <v>83.43</v>
      </c>
    </row>
    <row r="15" spans="1:24" x14ac:dyDescent="0.3">
      <c r="B15">
        <v>11</v>
      </c>
      <c r="C15" t="s">
        <v>730</v>
      </c>
      <c r="D15" s="425"/>
      <c r="E15" s="425"/>
      <c r="F15" s="425"/>
      <c r="G15" s="425"/>
      <c r="H15" s="425"/>
      <c r="I15" s="425"/>
      <c r="J15" s="425"/>
      <c r="K15" s="425"/>
      <c r="L15" s="425"/>
      <c r="M15" s="425"/>
      <c r="N15" s="425">
        <v>0</v>
      </c>
      <c r="O15" s="425">
        <v>11.54</v>
      </c>
      <c r="P15" s="425">
        <v>66.540000000000006</v>
      </c>
      <c r="Q15" s="425">
        <v>29.03</v>
      </c>
      <c r="R15" s="425">
        <v>65.400000000000006</v>
      </c>
    </row>
    <row r="16" spans="1:24" x14ac:dyDescent="0.3">
      <c r="B16">
        <v>12</v>
      </c>
      <c r="C16" t="s">
        <v>731</v>
      </c>
      <c r="D16" s="425"/>
      <c r="E16" s="425"/>
      <c r="F16" s="425"/>
      <c r="G16" s="425"/>
      <c r="H16" s="425"/>
      <c r="I16" s="425"/>
      <c r="J16" s="425"/>
      <c r="K16" s="425"/>
      <c r="L16" s="425"/>
      <c r="M16" s="425"/>
      <c r="N16" s="425"/>
      <c r="O16" s="425">
        <v>0</v>
      </c>
      <c r="P16" s="425">
        <v>68.650000000000006</v>
      </c>
      <c r="Q16" s="425">
        <v>28.22</v>
      </c>
      <c r="R16" s="425">
        <v>62.05</v>
      </c>
    </row>
    <row r="17" spans="1:24" x14ac:dyDescent="0.3">
      <c r="B17">
        <v>13</v>
      </c>
      <c r="C17" t="s">
        <v>732</v>
      </c>
      <c r="D17" s="425"/>
      <c r="E17" s="425"/>
      <c r="F17" s="425"/>
      <c r="G17" s="425"/>
      <c r="H17" s="425"/>
      <c r="I17" s="425"/>
      <c r="J17" s="425"/>
      <c r="K17" s="425"/>
      <c r="L17" s="425"/>
      <c r="M17" s="425"/>
      <c r="N17" s="425"/>
      <c r="O17" s="425"/>
      <c r="P17" s="435">
        <v>0</v>
      </c>
      <c r="Q17" s="425">
        <v>66.42</v>
      </c>
      <c r="R17" s="435">
        <v>40.58</v>
      </c>
    </row>
    <row r="18" spans="1:24" x14ac:dyDescent="0.3">
      <c r="B18">
        <v>14</v>
      </c>
      <c r="C18" t="s">
        <v>733</v>
      </c>
      <c r="D18" s="425"/>
      <c r="E18" s="425"/>
      <c r="F18" s="425"/>
      <c r="G18" s="425"/>
      <c r="H18" s="425"/>
      <c r="I18" s="425"/>
      <c r="J18" s="425"/>
      <c r="K18" s="425"/>
      <c r="L18" s="425"/>
      <c r="M18" s="425"/>
      <c r="N18" s="425"/>
      <c r="O18" s="425"/>
      <c r="P18" s="425"/>
      <c r="Q18" s="425">
        <v>0</v>
      </c>
      <c r="R18" s="425">
        <v>58.2</v>
      </c>
    </row>
    <row r="19" spans="1:24" x14ac:dyDescent="0.3">
      <c r="B19">
        <v>15</v>
      </c>
      <c r="C19" t="s">
        <v>747</v>
      </c>
      <c r="D19" s="425"/>
      <c r="E19" s="425"/>
      <c r="F19" s="425"/>
      <c r="G19" s="425"/>
      <c r="H19" s="425"/>
      <c r="I19" s="425"/>
      <c r="J19" s="425"/>
      <c r="K19" s="425"/>
      <c r="L19" s="425"/>
      <c r="M19" s="425"/>
      <c r="N19" s="425"/>
      <c r="O19" s="425"/>
      <c r="P19" s="425"/>
      <c r="Q19" s="425"/>
      <c r="R19" s="435">
        <v>0</v>
      </c>
    </row>
    <row r="22" spans="1:24" x14ac:dyDescent="0.3">
      <c r="D22" t="s">
        <v>720</v>
      </c>
      <c r="E22" t="s">
        <v>721</v>
      </c>
      <c r="F22" t="s">
        <v>722</v>
      </c>
      <c r="G22" t="s">
        <v>723</v>
      </c>
      <c r="H22" t="s">
        <v>724</v>
      </c>
      <c r="I22" t="s">
        <v>725</v>
      </c>
      <c r="J22" t="s">
        <v>726</v>
      </c>
      <c r="K22" t="s">
        <v>727</v>
      </c>
      <c r="L22" t="s">
        <v>728</v>
      </c>
      <c r="M22" t="s">
        <v>729</v>
      </c>
      <c r="N22" t="s">
        <v>730</v>
      </c>
      <c r="O22" t="s">
        <v>731</v>
      </c>
      <c r="P22" t="s">
        <v>732</v>
      </c>
      <c r="Q22" t="s">
        <v>733</v>
      </c>
      <c r="R22" t="s">
        <v>747</v>
      </c>
    </row>
    <row r="23" spans="1:24" x14ac:dyDescent="0.3">
      <c r="B23">
        <v>1</v>
      </c>
      <c r="C23" t="s">
        <v>720</v>
      </c>
      <c r="D23" s="425">
        <v>0</v>
      </c>
      <c r="E23" s="425">
        <v>7.4329547481714924</v>
      </c>
      <c r="F23" s="425">
        <v>33.234158745985738</v>
      </c>
      <c r="G23" s="425">
        <v>7.4329547481714924</v>
      </c>
      <c r="H23" s="425">
        <v>75.062374006182552</v>
      </c>
      <c r="I23" s="425">
        <v>76.156855179088723</v>
      </c>
      <c r="J23" s="425">
        <v>74.691202130153499</v>
      </c>
      <c r="K23" s="425">
        <v>73.948858378095409</v>
      </c>
      <c r="L23" s="425">
        <v>19.662592201949174</v>
      </c>
      <c r="M23" s="425">
        <v>18.20645638060444</v>
      </c>
      <c r="N23" s="425">
        <v>47.005587069422546</v>
      </c>
      <c r="O23" s="425">
        <v>93.421106028234803</v>
      </c>
      <c r="P23" s="425">
        <v>43.969591468056727</v>
      </c>
      <c r="Q23" s="425">
        <v>60.377291834058845</v>
      </c>
      <c r="R23" s="425">
        <v>37.897600265325082</v>
      </c>
    </row>
    <row r="24" spans="1:24" x14ac:dyDescent="0.3">
      <c r="B24">
        <v>2</v>
      </c>
      <c r="C24" t="s">
        <v>721</v>
      </c>
      <c r="D24" s="425"/>
      <c r="E24" s="425">
        <v>0</v>
      </c>
      <c r="F24" s="425">
        <v>30.645472841372872</v>
      </c>
      <c r="G24" s="425">
        <v>0</v>
      </c>
      <c r="H24" s="425">
        <v>76.156855179088723</v>
      </c>
      <c r="I24" s="425">
        <v>77.946093966100563</v>
      </c>
      <c r="J24" s="425">
        <v>75.062374006182552</v>
      </c>
      <c r="K24" s="425">
        <v>73.568169274475849</v>
      </c>
      <c r="L24" s="425">
        <v>18.20645638060444</v>
      </c>
      <c r="M24" s="425">
        <v>12.876808929930897</v>
      </c>
      <c r="N24" s="425">
        <v>49.8512381189786</v>
      </c>
      <c r="O24" s="425">
        <v>94.886759077170041</v>
      </c>
      <c r="P24" s="425">
        <v>40.705182404519178</v>
      </c>
      <c r="Q24" s="425">
        <v>61.738255379498696</v>
      </c>
      <c r="R24" s="425">
        <v>38.620909562202208</v>
      </c>
      <c r="V24" s="425"/>
      <c r="W24" s="425"/>
      <c r="X24" s="437"/>
    </row>
    <row r="25" spans="1:24" x14ac:dyDescent="0.3">
      <c r="B25">
        <v>3</v>
      </c>
      <c r="C25" t="s">
        <v>722</v>
      </c>
      <c r="D25" s="425"/>
      <c r="E25" s="425"/>
      <c r="F25" s="425">
        <v>0</v>
      </c>
      <c r="G25" s="425">
        <v>30.645472841372872</v>
      </c>
      <c r="H25" s="425">
        <v>54.60985191422283</v>
      </c>
      <c r="I25" s="425">
        <v>58.045571074389166</v>
      </c>
      <c r="J25" s="425">
        <v>52.021166009609964</v>
      </c>
      <c r="K25" s="425">
        <v>48.737722490891443</v>
      </c>
      <c r="L25" s="425">
        <v>28.780096233637124</v>
      </c>
      <c r="M25" s="425">
        <v>31.530575007288299</v>
      </c>
      <c r="N25" s="425">
        <v>44.588211261438474</v>
      </c>
      <c r="O25" s="425">
        <v>70.503621990338573</v>
      </c>
      <c r="P25" s="425">
        <v>48.737722490891443</v>
      </c>
      <c r="Q25" s="425">
        <v>43.331937219494002</v>
      </c>
      <c r="R25" s="425">
        <v>50.403237319226925</v>
      </c>
      <c r="V25" s="425"/>
      <c r="W25" s="425"/>
      <c r="X25" s="437"/>
    </row>
    <row r="26" spans="1:24" x14ac:dyDescent="0.3">
      <c r="B26">
        <v>4</v>
      </c>
      <c r="C26" t="s">
        <v>723</v>
      </c>
      <c r="D26" s="425"/>
      <c r="E26" s="425"/>
      <c r="F26" s="425"/>
      <c r="G26" s="425">
        <v>0</v>
      </c>
      <c r="H26" s="425">
        <v>76.156855179088723</v>
      </c>
      <c r="I26" s="425">
        <v>77.946093966100563</v>
      </c>
      <c r="J26" s="425">
        <v>77.946093966100563</v>
      </c>
      <c r="K26" s="425">
        <v>73.568169274475849</v>
      </c>
      <c r="L26" s="425">
        <v>18.20645638060444</v>
      </c>
      <c r="M26" s="425">
        <v>12.876808929930897</v>
      </c>
      <c r="N26" s="425">
        <v>49.8512381189786</v>
      </c>
      <c r="O26" s="425">
        <v>94.886759077170041</v>
      </c>
      <c r="P26" s="425">
        <v>40.705182404519178</v>
      </c>
      <c r="Q26" s="425">
        <v>61.738255379498696</v>
      </c>
      <c r="R26" s="425">
        <v>38.620909562202208</v>
      </c>
    </row>
    <row r="27" spans="1:24" x14ac:dyDescent="0.3">
      <c r="B27">
        <v>5</v>
      </c>
      <c r="C27" t="s">
        <v>724</v>
      </c>
      <c r="D27" s="425"/>
      <c r="E27" s="425"/>
      <c r="F27" s="425"/>
      <c r="G27" s="425"/>
      <c r="H27" s="425">
        <v>0</v>
      </c>
      <c r="I27" s="425">
        <v>7.4329547481714924</v>
      </c>
      <c r="J27" s="425">
        <v>7.4329547481714924</v>
      </c>
      <c r="K27" s="425">
        <v>30.645472841372872</v>
      </c>
      <c r="L27" s="425">
        <v>65.212043450026982</v>
      </c>
      <c r="M27" s="425">
        <v>75.78568330305967</v>
      </c>
      <c r="N27" s="425">
        <v>37.897600265325082</v>
      </c>
      <c r="O27" s="425">
        <v>29.73181899268597</v>
      </c>
      <c r="P27" s="425">
        <v>78.298231386948629</v>
      </c>
      <c r="Q27" s="425">
        <v>21.023555747389025</v>
      </c>
      <c r="R27" s="425">
        <v>72.816308294827266</v>
      </c>
    </row>
    <row r="28" spans="1:24" x14ac:dyDescent="0.3">
      <c r="B28">
        <v>6</v>
      </c>
      <c r="C28" t="s">
        <v>725</v>
      </c>
      <c r="D28" s="425"/>
      <c r="E28" s="425"/>
      <c r="F28" s="425"/>
      <c r="G28" s="425"/>
      <c r="H28" s="425"/>
      <c r="I28" s="425">
        <v>0</v>
      </c>
      <c r="J28" s="425">
        <v>27.809339019407304</v>
      </c>
      <c r="K28" s="425">
        <v>34.861604663959262</v>
      </c>
      <c r="L28" s="425">
        <v>67.296316292343946</v>
      </c>
      <c r="M28" s="425">
        <v>78.298231386948629</v>
      </c>
      <c r="N28" s="425">
        <v>37.155256513266984</v>
      </c>
      <c r="O28" s="425">
        <v>28.780096233637124</v>
      </c>
      <c r="P28" s="425">
        <v>81.410364809038356</v>
      </c>
      <c r="Q28" s="425">
        <v>22.29886424451448</v>
      </c>
      <c r="R28" s="425">
        <v>73.948858378095409</v>
      </c>
    </row>
    <row r="29" spans="1:24" x14ac:dyDescent="0.3">
      <c r="A29" t="s">
        <v>716</v>
      </c>
      <c r="B29">
        <v>7</v>
      </c>
      <c r="C29" t="s">
        <v>726</v>
      </c>
      <c r="D29" s="425"/>
      <c r="E29" s="425"/>
      <c r="F29" s="425"/>
      <c r="G29" s="425"/>
      <c r="H29" s="425"/>
      <c r="I29" s="425"/>
      <c r="J29" s="425">
        <v>0</v>
      </c>
      <c r="K29" s="425">
        <v>27.809339019407304</v>
      </c>
      <c r="L29" s="425">
        <v>63.927217725311046</v>
      </c>
      <c r="M29" s="425">
        <v>73.948858378095409</v>
      </c>
      <c r="N29" s="425">
        <v>40.019942018004009</v>
      </c>
      <c r="O29" s="425">
        <v>32.396642718022747</v>
      </c>
      <c r="P29" s="425">
        <v>75.78568330305967</v>
      </c>
      <c r="Q29" s="425">
        <v>22.29886424451448</v>
      </c>
      <c r="R29" s="425">
        <v>72.435619191207735</v>
      </c>
    </row>
    <row r="30" spans="1:24" x14ac:dyDescent="0.3">
      <c r="B30">
        <v>8</v>
      </c>
      <c r="C30" t="s">
        <v>727</v>
      </c>
      <c r="D30" s="425"/>
      <c r="E30" s="425"/>
      <c r="F30" s="425"/>
      <c r="G30" s="425"/>
      <c r="H30" s="425"/>
      <c r="I30" s="425"/>
      <c r="J30" s="425"/>
      <c r="K30" s="435">
        <v>0</v>
      </c>
      <c r="L30" s="425">
        <v>63.927217725311046</v>
      </c>
      <c r="M30" s="425">
        <v>73.196997398446811</v>
      </c>
      <c r="N30" s="425">
        <v>50.945719291884771</v>
      </c>
      <c r="O30" s="425">
        <v>42.694282970931269</v>
      </c>
      <c r="P30" s="435">
        <v>72.054930087588176</v>
      </c>
      <c r="Q30" s="425">
        <v>37.155256513266984</v>
      </c>
      <c r="R30" s="435">
        <v>70.893828321548597</v>
      </c>
    </row>
    <row r="31" spans="1:24" x14ac:dyDescent="0.3">
      <c r="B31">
        <v>9</v>
      </c>
      <c r="C31" t="s">
        <v>728</v>
      </c>
      <c r="D31" s="425"/>
      <c r="E31" s="425"/>
      <c r="F31" s="425"/>
      <c r="G31" s="425"/>
      <c r="H31" s="425"/>
      <c r="I31" s="425"/>
      <c r="J31" s="425"/>
      <c r="K31" s="425"/>
      <c r="L31" s="425">
        <v>0</v>
      </c>
      <c r="M31" s="425">
        <v>19.662592201949174</v>
      </c>
      <c r="N31" s="425">
        <v>38.620909562202208</v>
      </c>
      <c r="O31" s="425">
        <v>87.615597198036838</v>
      </c>
      <c r="P31" s="425">
        <v>41.228629921996038</v>
      </c>
      <c r="Q31" s="425">
        <v>54.105438851926948</v>
      </c>
      <c r="R31" s="425">
        <v>37.155256513266984</v>
      </c>
    </row>
    <row r="32" spans="1:24" x14ac:dyDescent="0.3">
      <c r="B32">
        <v>10</v>
      </c>
      <c r="C32" t="s">
        <v>729</v>
      </c>
      <c r="D32" s="425"/>
      <c r="E32" s="425"/>
      <c r="F32" s="425"/>
      <c r="G32" s="425"/>
      <c r="H32" s="425"/>
      <c r="I32" s="425"/>
      <c r="J32" s="425"/>
      <c r="K32" s="425"/>
      <c r="L32" s="425"/>
      <c r="M32" s="425">
        <v>0</v>
      </c>
      <c r="N32" s="425">
        <v>50.136754946693252</v>
      </c>
      <c r="O32" s="425">
        <v>95.172275904884685</v>
      </c>
      <c r="P32" s="425">
        <v>34.052640318767743</v>
      </c>
      <c r="Q32" s="425">
        <v>61.281428455155243</v>
      </c>
      <c r="R32" s="425">
        <v>36.412912761208879</v>
      </c>
    </row>
    <row r="33" spans="2:19" x14ac:dyDescent="0.3">
      <c r="B33">
        <v>11</v>
      </c>
      <c r="C33" t="s">
        <v>730</v>
      </c>
      <c r="D33" s="425"/>
      <c r="E33" s="425"/>
      <c r="F33" s="425"/>
      <c r="G33" s="425"/>
      <c r="H33" s="425"/>
      <c r="I33" s="425"/>
      <c r="J33" s="425"/>
      <c r="K33" s="425"/>
      <c r="L33" s="425"/>
      <c r="M33" s="425"/>
      <c r="N33" s="425">
        <v>0</v>
      </c>
      <c r="O33" s="425">
        <v>62.176047848661163</v>
      </c>
      <c r="P33" s="425">
        <v>55.114264976518712</v>
      </c>
      <c r="Q33" s="425">
        <v>27.809339019407304</v>
      </c>
      <c r="R33" s="425">
        <v>43.331937219494002</v>
      </c>
    </row>
    <row r="34" spans="2:19" x14ac:dyDescent="0.3">
      <c r="B34">
        <v>12</v>
      </c>
      <c r="C34" t="s">
        <v>731</v>
      </c>
      <c r="D34" s="425"/>
      <c r="E34" s="425"/>
      <c r="F34" s="425"/>
      <c r="G34" s="425"/>
      <c r="H34" s="425"/>
      <c r="I34" s="425"/>
      <c r="J34" s="425"/>
      <c r="K34" s="425"/>
      <c r="L34" s="425"/>
      <c r="M34" s="425"/>
      <c r="N34" s="425"/>
      <c r="O34" s="425">
        <v>0</v>
      </c>
      <c r="P34" s="425">
        <v>100</v>
      </c>
      <c r="Q34" s="425">
        <v>39.325184403898348</v>
      </c>
      <c r="R34" s="425">
        <v>94.001656911254599</v>
      </c>
    </row>
    <row r="35" spans="2:19" x14ac:dyDescent="0.3">
      <c r="B35">
        <v>13</v>
      </c>
      <c r="C35" t="s">
        <v>732</v>
      </c>
      <c r="D35" s="425"/>
      <c r="E35" s="425"/>
      <c r="F35" s="425"/>
      <c r="G35" s="425"/>
      <c r="H35" s="425"/>
      <c r="I35" s="425"/>
      <c r="J35" s="425"/>
      <c r="K35" s="425"/>
      <c r="L35" s="425"/>
      <c r="M35" s="425"/>
      <c r="N35" s="425"/>
      <c r="O35" s="425"/>
      <c r="P35" s="435">
        <v>0</v>
      </c>
      <c r="Q35" s="425">
        <v>64.365010194473498</v>
      </c>
      <c r="R35" s="435">
        <v>22.29886424451448</v>
      </c>
    </row>
    <row r="36" spans="2:19" x14ac:dyDescent="0.3">
      <c r="B36">
        <v>14</v>
      </c>
      <c r="C36" t="s">
        <v>733</v>
      </c>
      <c r="D36" s="425"/>
      <c r="E36" s="425"/>
      <c r="F36" s="425"/>
      <c r="G36" s="425"/>
      <c r="H36" s="425"/>
      <c r="I36" s="425"/>
      <c r="J36" s="425"/>
      <c r="K36" s="425"/>
      <c r="L36" s="425"/>
      <c r="M36" s="425"/>
      <c r="N36" s="425"/>
      <c r="O36" s="425"/>
      <c r="P36" s="425"/>
      <c r="Q36" s="425">
        <v>0</v>
      </c>
      <c r="R36" s="425">
        <v>57.569709694864748</v>
      </c>
    </row>
    <row r="37" spans="2:19" x14ac:dyDescent="0.3">
      <c r="B37">
        <v>15</v>
      </c>
      <c r="C37" t="s">
        <v>747</v>
      </c>
      <c r="D37" s="425"/>
      <c r="E37" s="425"/>
      <c r="F37" s="425"/>
      <c r="G37" s="425"/>
      <c r="H37" s="425"/>
      <c r="I37" s="425"/>
      <c r="J37" s="425"/>
      <c r="K37" s="425"/>
      <c r="L37" s="425"/>
      <c r="M37" s="425"/>
      <c r="N37" s="425"/>
      <c r="O37" s="425"/>
      <c r="P37" s="425"/>
      <c r="Q37" s="425"/>
      <c r="R37" s="435">
        <v>0</v>
      </c>
    </row>
    <row r="38" spans="2:19" x14ac:dyDescent="0.3">
      <c r="D38" s="436"/>
      <c r="E38" s="436"/>
      <c r="F38" s="436"/>
      <c r="G38" s="436"/>
      <c r="H38" s="436"/>
      <c r="I38" s="436"/>
      <c r="J38" s="436"/>
      <c r="K38" s="436"/>
      <c r="L38" s="436"/>
      <c r="M38" s="436"/>
      <c r="N38" s="436"/>
      <c r="O38" s="436"/>
      <c r="P38" s="436"/>
      <c r="Q38" s="436"/>
      <c r="R38" s="436"/>
    </row>
    <row r="39" spans="2:19" x14ac:dyDescent="0.3">
      <c r="R39" s="425"/>
      <c r="S39" s="425"/>
    </row>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S53"/>
  <sheetViews>
    <sheetView zoomScale="90" zoomScaleNormal="90" workbookViewId="0">
      <pane ySplit="1" topLeftCell="A2" activePane="bottomLeft" state="frozen"/>
      <selection activeCell="C1" sqref="C1"/>
      <selection pane="bottomLeft" activeCell="I7" sqref="I7"/>
    </sheetView>
  </sheetViews>
  <sheetFormatPr defaultRowHeight="12.75" x14ac:dyDescent="0.3"/>
  <cols>
    <col min="1" max="1" width="3.25" style="24" bestFit="1" customWidth="1"/>
    <col min="2" max="2" width="12" style="25" customWidth="1"/>
    <col min="3" max="3" width="23.875" style="24" customWidth="1"/>
    <col min="4" max="4" width="34.125" style="24" customWidth="1"/>
    <col min="5" max="7" width="8.875" style="35" bestFit="1" customWidth="1"/>
    <col min="8" max="22" width="8.375" style="24" bestFit="1" customWidth="1"/>
    <col min="23" max="23" width="9.875" style="24" bestFit="1" customWidth="1"/>
    <col min="24" max="24" width="9.25" style="24" bestFit="1" customWidth="1"/>
    <col min="25" max="25" width="9.125" style="24" bestFit="1" customWidth="1"/>
    <col min="26" max="26" width="8.875" style="24" bestFit="1" customWidth="1"/>
    <col min="27" max="27" width="10" style="24" customWidth="1"/>
    <col min="28" max="28" width="11.5" style="24" customWidth="1"/>
    <col min="29" max="29" width="12.125" style="24" customWidth="1"/>
    <col min="30" max="30" width="6.5" style="24" customWidth="1"/>
    <col min="31" max="31" width="16.75" style="24" customWidth="1"/>
    <col min="32" max="32" width="6.375" style="24" customWidth="1"/>
    <col min="33" max="42" width="9" style="24" customWidth="1"/>
    <col min="43" max="16384" width="9" style="24"/>
  </cols>
  <sheetData>
    <row r="1" spans="1:45" s="42" customFormat="1" ht="54" customHeight="1" x14ac:dyDescent="0.3">
      <c r="E1" s="104" t="s">
        <v>186</v>
      </c>
      <c r="F1" s="44" t="s">
        <v>187</v>
      </c>
      <c r="G1" s="44" t="s">
        <v>188</v>
      </c>
      <c r="H1" s="104" t="s">
        <v>193</v>
      </c>
      <c r="I1" s="44" t="s">
        <v>194</v>
      </c>
      <c r="J1" s="44" t="s">
        <v>195</v>
      </c>
      <c r="K1" s="39" t="s">
        <v>202</v>
      </c>
      <c r="L1" s="40" t="s">
        <v>200</v>
      </c>
      <c r="M1" s="41" t="s">
        <v>201</v>
      </c>
      <c r="N1" s="39" t="s">
        <v>203</v>
      </c>
      <c r="O1" s="40" t="s">
        <v>204</v>
      </c>
      <c r="P1" s="41" t="s">
        <v>205</v>
      </c>
      <c r="Q1" s="46" t="s">
        <v>217</v>
      </c>
      <c r="R1" s="41" t="s">
        <v>218</v>
      </c>
      <c r="S1" s="41" t="s">
        <v>219</v>
      </c>
      <c r="T1" s="46" t="s">
        <v>220</v>
      </c>
      <c r="U1" s="41" t="s">
        <v>221</v>
      </c>
      <c r="V1" s="41" t="s">
        <v>222</v>
      </c>
      <c r="W1" s="46" t="s">
        <v>223</v>
      </c>
      <c r="X1" s="41" t="s">
        <v>224</v>
      </c>
      <c r="Y1" s="41" t="s">
        <v>232</v>
      </c>
      <c r="Z1" s="48" t="s">
        <v>231</v>
      </c>
      <c r="AA1" s="47" t="s">
        <v>230</v>
      </c>
      <c r="AB1" s="47" t="s">
        <v>229</v>
      </c>
      <c r="AC1" s="48" t="s">
        <v>228</v>
      </c>
      <c r="AD1" s="47" t="s">
        <v>227</v>
      </c>
      <c r="AE1" s="46" t="s">
        <v>225</v>
      </c>
      <c r="AF1" s="47" t="s">
        <v>226</v>
      </c>
      <c r="AG1" s="41" t="s">
        <v>247</v>
      </c>
      <c r="AH1" s="151" t="s">
        <v>248</v>
      </c>
      <c r="AI1" s="152" t="s">
        <v>493</v>
      </c>
      <c r="AJ1" s="153" t="s">
        <v>494</v>
      </c>
      <c r="AK1" s="152" t="s">
        <v>495</v>
      </c>
      <c r="AL1" s="153" t="s">
        <v>496</v>
      </c>
      <c r="AM1" s="152" t="s">
        <v>497</v>
      </c>
      <c r="AN1" s="153" t="s">
        <v>498</v>
      </c>
      <c r="AO1" s="152" t="s">
        <v>499</v>
      </c>
      <c r="AP1" s="153" t="s">
        <v>500</v>
      </c>
      <c r="AQ1" s="273" t="s">
        <v>600</v>
      </c>
      <c r="AR1" s="273" t="s">
        <v>602</v>
      </c>
      <c r="AS1" s="273"/>
    </row>
    <row r="2" spans="1:45" s="21" customFormat="1" ht="16.5" customHeight="1" x14ac:dyDescent="0.3">
      <c r="A2" s="21">
        <v>1</v>
      </c>
      <c r="B2" s="22" t="s">
        <v>88</v>
      </c>
      <c r="D2" s="23"/>
      <c r="E2" s="33"/>
      <c r="F2" s="33"/>
      <c r="G2" s="33"/>
    </row>
    <row r="3" spans="1:45" ht="28.5" customHeight="1" x14ac:dyDescent="0.3">
      <c r="B3" s="25" t="s">
        <v>131</v>
      </c>
      <c r="C3" s="26">
        <v>2</v>
      </c>
      <c r="E3" s="34"/>
      <c r="F3" s="34"/>
    </row>
    <row r="4" spans="1:45" s="21" customFormat="1" ht="16.5" customHeight="1" x14ac:dyDescent="0.3">
      <c r="A4" s="21">
        <v>2</v>
      </c>
      <c r="B4" s="22" t="s">
        <v>88</v>
      </c>
      <c r="D4" s="23"/>
      <c r="E4" s="33"/>
      <c r="F4" s="33"/>
      <c r="G4" s="33"/>
    </row>
    <row r="5" spans="1:45" ht="132.75" customHeight="1" x14ac:dyDescent="0.3">
      <c r="B5" s="25" t="s">
        <v>0</v>
      </c>
      <c r="C5" s="26" t="s">
        <v>1</v>
      </c>
      <c r="E5" s="34">
        <f>Measurement!C2/Measurement!C3</f>
        <v>2.5249999999999999</v>
      </c>
      <c r="F5" s="34">
        <f>Measurement!D2/Measurement!D3</f>
        <v>1.9821428571428572</v>
      </c>
      <c r="G5" s="34">
        <f>Measurement!E2/Measurement!E3</f>
        <v>2.9333333333333331</v>
      </c>
      <c r="H5" s="34">
        <f>Measurement!F2/Measurement!F3</f>
        <v>1</v>
      </c>
      <c r="I5" s="34">
        <f>Measurement!G2/Measurement!G3</f>
        <v>1</v>
      </c>
      <c r="J5" s="34">
        <f>Measurement!H2/Measurement!H3</f>
        <v>1</v>
      </c>
      <c r="K5" s="34">
        <f>Measurement!I2/Measurement!I3</f>
        <v>2.0512820512820511</v>
      </c>
      <c r="L5" s="34">
        <f>Measurement!J2/Measurement!J3</f>
        <v>1.7837837837837838</v>
      </c>
      <c r="M5" s="34">
        <f>Measurement!K2/Measurement!K3</f>
        <v>2.6666666666666665</v>
      </c>
      <c r="N5" s="34">
        <f>Measurement!L2/Measurement!L3</f>
        <v>2.3372093023255816</v>
      </c>
      <c r="O5" s="34">
        <f>Measurement!M2/Measurement!M3</f>
        <v>2.0721649484536084</v>
      </c>
      <c r="P5" s="34">
        <f>Measurement!N2/Measurement!N3</f>
        <v>2.5443037974683542</v>
      </c>
      <c r="Q5" s="34">
        <f>Measurement!O2/Measurement!O3</f>
        <v>1.0483870967741935</v>
      </c>
      <c r="R5" s="34">
        <f>Measurement!P2/Measurement!P3</f>
        <v>1.0769230769230769</v>
      </c>
      <c r="S5" s="34">
        <f>Measurement!Q2/Measurement!Q3</f>
        <v>1.1506849315068493</v>
      </c>
      <c r="T5" s="34">
        <f>Measurement!R2/Measurement!R3</f>
        <v>2</v>
      </c>
      <c r="U5" s="34">
        <f>Measurement!S2/Measurement!S3</f>
        <v>1.8888888888888888</v>
      </c>
      <c r="V5" s="34">
        <f>Measurement!T2/Measurement!T3</f>
        <v>2.1428571428571428</v>
      </c>
      <c r="W5" s="34">
        <f>Measurement!U2/Measurement!U3</f>
        <v>1.8271604938271604</v>
      </c>
      <c r="X5" s="34">
        <f>Measurement!V2/Measurement!V3</f>
        <v>1.7441860465116279</v>
      </c>
      <c r="Y5" s="34">
        <f>Measurement!W2/Measurement!W3</f>
        <v>2.08955223880597</v>
      </c>
      <c r="Z5" s="34">
        <f>Measurement!X2/Measurement!X3</f>
        <v>2.116883116883117</v>
      </c>
      <c r="AA5" s="34">
        <f>Measurement!Y2/Measurement!Y3</f>
        <v>1.963855421686747</v>
      </c>
      <c r="AB5" s="34">
        <f>Measurement!Z2/Measurement!Z3</f>
        <v>2.2816901408450705</v>
      </c>
      <c r="AC5" s="34">
        <f>Measurement!AA2/Measurement!AA3</f>
        <v>1.972972972972973</v>
      </c>
      <c r="AD5" s="34">
        <f>Measurement!AB2/Measurement!AB3</f>
        <v>2.6041666666666665</v>
      </c>
      <c r="AE5" s="34">
        <f>Measurement!AC2/Measurement!AC3</f>
        <v>3.06</v>
      </c>
      <c r="AF5" s="34">
        <f>Measurement!AD2/Measurement!AD3</f>
        <v>2.1363636363636362</v>
      </c>
      <c r="AG5" s="34">
        <f>Measurement!AE2/Measurement!AE3</f>
        <v>1.1587301587301588</v>
      </c>
      <c r="AH5" s="34">
        <f>Measurement!AF2/Measurement!AF3</f>
        <v>1.1162790697674418</v>
      </c>
      <c r="AI5" s="34">
        <f>Measurement!AG2/Measurement!AG3</f>
        <v>1</v>
      </c>
      <c r="AJ5" s="34">
        <f>Measurement!AH2/Measurement!AH3</f>
        <v>1</v>
      </c>
      <c r="AK5" s="34">
        <f>Measurement!AI2/Measurement!AI3</f>
        <v>1</v>
      </c>
      <c r="AL5" s="34">
        <f>Measurement!AJ2/Measurement!AJ3</f>
        <v>1</v>
      </c>
      <c r="AM5" s="34">
        <f>Measurement!AK2/Measurement!AK3</f>
        <v>2.9852941176470589</v>
      </c>
      <c r="AN5" s="34">
        <f>Measurement!AL2/Measurement!AL3</f>
        <v>2.375</v>
      </c>
      <c r="AO5" s="34">
        <f>Measurement!AM2/Measurement!AM3</f>
        <v>1.0819672131147542</v>
      </c>
      <c r="AP5" s="34">
        <f>Measurement!AN2/Measurement!AN3</f>
        <v>1.0289017341040463</v>
      </c>
      <c r="AQ5" s="34">
        <f>Measurement!AO2/Measurement!AO3</f>
        <v>2.2708333333333335</v>
      </c>
      <c r="AR5" s="34">
        <f>Measurement!AP2/Measurement!AP3</f>
        <v>1</v>
      </c>
    </row>
    <row r="6" spans="1:45" ht="123.75" customHeight="1" x14ac:dyDescent="0.3">
      <c r="B6" s="25" t="s">
        <v>2</v>
      </c>
      <c r="C6" s="24" t="s">
        <v>3</v>
      </c>
      <c r="E6" s="35">
        <f>Measurement!C4/Measurement!C3</f>
        <v>0.7</v>
      </c>
      <c r="F6" s="35">
        <f>Measurement!D4/Measurement!D3</f>
        <v>0.6116071428571429</v>
      </c>
      <c r="G6" s="35">
        <f>Measurement!E4/Measurement!E3</f>
        <v>0.58333333333333337</v>
      </c>
      <c r="H6" s="35">
        <f>Measurement!F4/Measurement!F3</f>
        <v>0</v>
      </c>
      <c r="I6" s="35">
        <f>Measurement!G4/Measurement!G3</f>
        <v>0</v>
      </c>
      <c r="J6" s="35">
        <f>Measurement!H4/Measurement!H3</f>
        <v>0</v>
      </c>
      <c r="K6" s="35">
        <f>Measurement!I4/Measurement!I3</f>
        <v>0.55128205128205132</v>
      </c>
      <c r="L6" s="35">
        <f>Measurement!J4/Measurement!J3</f>
        <v>0.6216216216216216</v>
      </c>
      <c r="M6" s="35">
        <f>Measurement!K4/Measurement!K3</f>
        <v>0.52941176470588236</v>
      </c>
      <c r="N6" s="35">
        <f>Measurement!L4/Measurement!L3</f>
        <v>0.62790697674418605</v>
      </c>
      <c r="O6" s="35">
        <f>Measurement!M4/Measurement!M3</f>
        <v>0.71134020618556704</v>
      </c>
      <c r="P6" s="35">
        <f>Measurement!N4/Measurement!N3</f>
        <v>0.620253164556962</v>
      </c>
      <c r="Q6" s="35">
        <f>Measurement!O4/Measurement!O3</f>
        <v>0.29838709677419356</v>
      </c>
      <c r="R6" s="35">
        <f>Measurement!P4/Measurement!P3</f>
        <v>0.32307692307692309</v>
      </c>
      <c r="S6" s="35">
        <f>Measurement!Q4/Measurement!Q3</f>
        <v>1.0136986301369864</v>
      </c>
      <c r="T6" s="35">
        <f>Measurement!R4/Measurement!R3</f>
        <v>0.72499999999999998</v>
      </c>
      <c r="U6" s="35">
        <f>Measurement!S4/Measurement!S3</f>
        <v>0.75555555555555554</v>
      </c>
      <c r="V6" s="35">
        <f>Measurement!T4/Measurement!T3</f>
        <v>0.68571428571428572</v>
      </c>
      <c r="W6" s="35">
        <f>Measurement!U4/Measurement!U3</f>
        <v>0.50617283950617287</v>
      </c>
      <c r="X6" s="35">
        <f>Measurement!V4/Measurement!V3</f>
        <v>0.69767441860465118</v>
      </c>
      <c r="Y6" s="35">
        <f>Measurement!W4/Measurement!W3</f>
        <v>0.59701492537313428</v>
      </c>
      <c r="Z6" s="35">
        <f>Measurement!X4/Measurement!X3</f>
        <v>0.66233766233766234</v>
      </c>
      <c r="AA6" s="35">
        <f>Measurement!Y4/Measurement!Y3</f>
        <v>0.72289156626506024</v>
      </c>
      <c r="AB6" s="35">
        <f>Measurement!Z4/Measurement!Z3</f>
        <v>0.61971830985915488</v>
      </c>
      <c r="AC6" s="35">
        <f>Measurement!AA4/Measurement!AA3</f>
        <v>1.027027027027027</v>
      </c>
      <c r="AD6" s="35">
        <f>Measurement!AB4/Measurement!AB3</f>
        <v>1.2083333333333333</v>
      </c>
      <c r="AE6" s="35">
        <f>Measurement!AC4/Measurement!AC3</f>
        <v>0.72</v>
      </c>
      <c r="AF6" s="35">
        <f>Measurement!AD4/Measurement!AD3</f>
        <v>0.70454545454545459</v>
      </c>
      <c r="AG6" s="35">
        <f>Measurement!AE4/Measurement!AE3</f>
        <v>0</v>
      </c>
      <c r="AH6" s="35">
        <f>Measurement!AF4/Measurement!AF3</f>
        <v>0</v>
      </c>
      <c r="AI6" s="35">
        <f>Measurement!AG4/Measurement!AG3</f>
        <v>0</v>
      </c>
      <c r="AJ6" s="35">
        <f>Measurement!AH4/Measurement!AH3</f>
        <v>0</v>
      </c>
      <c r="AK6" s="35">
        <f>Measurement!AI4/Measurement!AI3</f>
        <v>0</v>
      </c>
      <c r="AL6" s="35">
        <f>Measurement!AJ4/Measurement!AJ3</f>
        <v>0</v>
      </c>
      <c r="AM6" s="35">
        <f>Measurement!AK4/Measurement!AK3</f>
        <v>0.91911764705882348</v>
      </c>
      <c r="AN6" s="35">
        <f>Measurement!AL4/Measurement!AL3</f>
        <v>0.75</v>
      </c>
      <c r="AO6" s="35">
        <f>Measurement!AM4/Measurement!AM3</f>
        <v>0</v>
      </c>
      <c r="AP6" s="35">
        <f>Measurement!AN4/Measurement!AN3</f>
        <v>0</v>
      </c>
      <c r="AQ6" s="35">
        <f>Measurement!AO4/Measurement!AO3</f>
        <v>1.1458333333333333</v>
      </c>
      <c r="AR6" s="35">
        <f>Measurement!AP4/Measurement!AP3</f>
        <v>0</v>
      </c>
    </row>
    <row r="7" spans="1:45" ht="108" customHeight="1" x14ac:dyDescent="0.3">
      <c r="B7" s="25" t="s">
        <v>4</v>
      </c>
      <c r="C7" s="24" t="s">
        <v>5</v>
      </c>
      <c r="E7" s="35">
        <f>Measurement!C5/Measurement!C6</f>
        <v>0.12191011235955056</v>
      </c>
      <c r="F7" s="35">
        <f>Measurement!D5/Measurement!D6</f>
        <v>0.10263600673022995</v>
      </c>
      <c r="G7" s="35">
        <f>Measurement!E5/Measurement!E6</f>
        <v>0.11348314606741573</v>
      </c>
      <c r="H7" s="35">
        <f>Measurement!F5/Measurement!F6</f>
        <v>0</v>
      </c>
      <c r="I7" s="35">
        <f>Measurement!G5/Measurement!G6</f>
        <v>0</v>
      </c>
      <c r="J7" s="35">
        <f>Measurement!H5/Measurement!H6</f>
        <v>0</v>
      </c>
      <c r="K7" s="35">
        <f>Measurement!I5/Measurement!I6</f>
        <v>9.7872340425531917E-2</v>
      </c>
      <c r="L7" s="35">
        <f>Measurement!J5/Measurement!J6</f>
        <v>0.13191489361702127</v>
      </c>
      <c r="M7" s="35">
        <f>Measurement!K5/Measurement!K6</f>
        <v>7.7659574468085107E-2</v>
      </c>
      <c r="N7" s="35">
        <f>Measurement!L5/Measurement!L6</f>
        <v>0.13014460511679643</v>
      </c>
      <c r="O7" s="35">
        <f>Measurement!M5/Measurement!M6</f>
        <v>0.13858093126385809</v>
      </c>
      <c r="P7" s="35">
        <f>Measurement!N5/Measurement!N6</f>
        <v>0.12680756395995552</v>
      </c>
      <c r="Q7" s="35">
        <f>Measurement!O5/Measurement!O6</f>
        <v>0.10658307210031348</v>
      </c>
      <c r="R7" s="35">
        <f>Measurement!P5/Measurement!P6</f>
        <v>0.11882716049382716</v>
      </c>
      <c r="S7" s="35">
        <f>Measurement!Q5/Measurement!Q6</f>
        <v>0.12795549374130738</v>
      </c>
      <c r="T7" s="35">
        <f>Measurement!R5/Measurement!R6</f>
        <v>6.5909090909090903E-2</v>
      </c>
      <c r="U7" s="35">
        <f>Measurement!S5/Measurement!S6</f>
        <v>7.6318742985409652E-2</v>
      </c>
      <c r="V7" s="35">
        <f>Measurement!T5/Measurement!T6</f>
        <v>5.5172413793103448E-2</v>
      </c>
      <c r="W7" s="35">
        <f>Measurement!U5/Measurement!U6</f>
        <v>0.20243902439024392</v>
      </c>
      <c r="X7" s="35">
        <f>Measurement!V5/Measurement!V6</f>
        <v>0.21897810218978103</v>
      </c>
      <c r="Y7" s="35">
        <f>Measurement!W5/Measurement!W6</f>
        <v>0.47073170731707314</v>
      </c>
      <c r="Z7" s="35">
        <f>Measurement!X5/Measurement!X6</f>
        <v>0.12345679012345678</v>
      </c>
      <c r="AA7" s="35">
        <f>Measurement!Y5/Measurement!Y6</f>
        <v>0.13131313131313133</v>
      </c>
      <c r="AB7" s="35">
        <f>Measurement!Z5/Measurement!Z6</f>
        <v>0.11672278338945005</v>
      </c>
      <c r="AC7" s="35">
        <f>Measurement!AA5/Measurement!AA6</f>
        <v>0.13043478260869565</v>
      </c>
      <c r="AD7" s="35">
        <f>Measurement!AB5/Measurement!AB6</f>
        <v>0.11606217616580311</v>
      </c>
      <c r="AE7" s="35">
        <f>Measurement!AC5/Measurement!AC6</f>
        <v>8.1609195402298856E-2</v>
      </c>
      <c r="AF7" s="35">
        <f>Measurement!AD5/Measurement!AD6</f>
        <v>0.15833333333333333</v>
      </c>
      <c r="AG7" s="35">
        <f>Measurement!AE5/Measurement!AE6</f>
        <v>0</v>
      </c>
      <c r="AH7" s="35">
        <f>Measurement!AF5/Measurement!AF6</f>
        <v>0</v>
      </c>
      <c r="AI7" s="35">
        <f>Measurement!AG5/Measurement!AG6</f>
        <v>0</v>
      </c>
      <c r="AJ7" s="35">
        <f>Measurement!AH5/Measurement!AH6</f>
        <v>0</v>
      </c>
      <c r="AK7" s="35">
        <f>Measurement!AI5/Measurement!AI6</f>
        <v>0</v>
      </c>
      <c r="AL7" s="35">
        <f>Measurement!AJ5/Measurement!AJ6</f>
        <v>0</v>
      </c>
      <c r="AM7" s="34">
        <f>Measurement!AK4/Measurement!AK5</f>
        <v>0.53418803418803418</v>
      </c>
      <c r="AN7" s="34">
        <f>Measurement!AL4/Measurement!AL5</f>
        <v>0.5901639344262295</v>
      </c>
      <c r="AO7" s="35">
        <f>Measurement!AM5/Measurement!AM6</f>
        <v>0</v>
      </c>
      <c r="AP7" s="35">
        <f>Measurement!AN5/Measurement!AN6</f>
        <v>0</v>
      </c>
      <c r="AQ7" s="35">
        <f>Measurement!AO5/Measurement!AO6</f>
        <v>0.26074895977808599</v>
      </c>
      <c r="AR7" s="35">
        <f>Measurement!AP5/Measurement!AP6</f>
        <v>0</v>
      </c>
    </row>
    <row r="8" spans="1:45" ht="122.25" customHeight="1" x14ac:dyDescent="0.3">
      <c r="B8" s="25" t="s">
        <v>6</v>
      </c>
      <c r="C8" s="24" t="s">
        <v>7</v>
      </c>
      <c r="E8" s="35">
        <f>Measurement!C7/Measurement!C3</f>
        <v>0.33750000000000002</v>
      </c>
      <c r="F8" s="35">
        <f>Measurement!D7/Measurement!D3</f>
        <v>0.3392857142857143</v>
      </c>
      <c r="G8" s="35">
        <f>Measurement!E7/Measurement!E3</f>
        <v>0.31666666666666665</v>
      </c>
      <c r="H8" s="35">
        <f>Measurement!F7/Measurement!F3</f>
        <v>0.5</v>
      </c>
      <c r="I8" s="35">
        <f>Measurement!G7/Measurement!G3</f>
        <v>0.5</v>
      </c>
      <c r="J8" s="35">
        <f>Measurement!H7/Measurement!H3</f>
        <v>0.5</v>
      </c>
      <c r="K8" s="35">
        <f>Measurement!I7/Measurement!I3</f>
        <v>0.5</v>
      </c>
      <c r="L8" s="35">
        <f>Measurement!J7/Measurement!J3</f>
        <v>0.5</v>
      </c>
      <c r="M8" s="35">
        <f>Measurement!K7/Measurement!K3</f>
        <v>0.5</v>
      </c>
      <c r="N8" s="35">
        <f>Measurement!L7/Measurement!L3</f>
        <v>1</v>
      </c>
      <c r="O8" s="35">
        <f>Measurement!M7/Measurement!M3</f>
        <v>1</v>
      </c>
      <c r="P8" s="35">
        <f>Measurement!N7/Measurement!N3</f>
        <v>1</v>
      </c>
      <c r="Q8" s="35">
        <f>Measurement!O7/Measurement!O3</f>
        <v>0.29838709677419356</v>
      </c>
      <c r="R8" s="35">
        <f>Measurement!P7/Measurement!P3</f>
        <v>0.22307692307692309</v>
      </c>
      <c r="S8" s="35">
        <f>Measurement!Q7/Measurement!Q3</f>
        <v>0.54794520547945202</v>
      </c>
      <c r="T8" s="35">
        <f>Measurement!R7/Measurement!R3</f>
        <v>0.5</v>
      </c>
      <c r="U8" s="35">
        <f>Measurement!S7/Measurement!S3</f>
        <v>0.5</v>
      </c>
      <c r="V8" s="35">
        <f>Measurement!T7/Measurement!T3</f>
        <v>0.5</v>
      </c>
      <c r="W8" s="35">
        <f>Measurement!U7/Measurement!U3</f>
        <v>0.34567901234567899</v>
      </c>
      <c r="X8" s="35">
        <f>Measurement!V7/Measurement!V3</f>
        <v>0.36046511627906974</v>
      </c>
      <c r="Y8" s="35">
        <f>Measurement!W7/Measurement!W3</f>
        <v>0.32835820895522388</v>
      </c>
      <c r="Z8" s="35">
        <f>Measurement!X7/Measurement!X3</f>
        <v>0.25974025974025972</v>
      </c>
      <c r="AA8" s="35">
        <f>Measurement!Y7/Measurement!Y3</f>
        <v>0.31325301204819278</v>
      </c>
      <c r="AB8" s="35">
        <f>Measurement!Z7/Measurement!Z3</f>
        <v>0.21126760563380281</v>
      </c>
      <c r="AC8" s="35">
        <f>Measurement!AA7/Measurement!AA3</f>
        <v>0.44594594594594594</v>
      </c>
      <c r="AD8" s="35">
        <f>Measurement!AB7/Measurement!AB3</f>
        <v>0.45833333333333331</v>
      </c>
      <c r="AE8" s="35">
        <f>Measurement!AC7/Measurement!AC3</f>
        <v>0.3</v>
      </c>
      <c r="AF8" s="35">
        <f>Measurement!AD7/Measurement!AD3</f>
        <v>0.27272727272727271</v>
      </c>
      <c r="AG8" s="35">
        <f>Measurement!AE7/Measurement!AE3</f>
        <v>0.5</v>
      </c>
      <c r="AH8" s="35">
        <f>Measurement!AF7/Measurement!AF3</f>
        <v>0.5</v>
      </c>
      <c r="AI8" s="35">
        <f>Measurement!AG7/Measurement!AG3</f>
        <v>0.5</v>
      </c>
      <c r="AJ8" s="35">
        <f>Measurement!AH7/Measurement!AH3</f>
        <v>0.5</v>
      </c>
      <c r="AK8" s="35">
        <f>Measurement!AI7/Measurement!AI3</f>
        <v>0.5</v>
      </c>
      <c r="AL8" s="35">
        <f>Measurement!AJ7/Measurement!AJ3</f>
        <v>0.5</v>
      </c>
      <c r="AM8" s="35">
        <f>Measurement!AK6/Measurement!AK5</f>
        <v>8.2735042735042743</v>
      </c>
      <c r="AN8" s="35">
        <f>Measurement!AL6/Measurement!AL5</f>
        <v>8</v>
      </c>
      <c r="AO8" s="35">
        <f>Measurement!AM7/Measurement!AM3</f>
        <v>0.50819672131147542</v>
      </c>
      <c r="AP8" s="35">
        <f>Measurement!AN7/Measurement!AN3</f>
        <v>0.52023121387283233</v>
      </c>
      <c r="AQ8" s="35">
        <f>Measurement!AO7/Measurement!AO3</f>
        <v>0.47916666666666669</v>
      </c>
      <c r="AR8" s="35">
        <f>Measurement!AP7/Measurement!AP3</f>
        <v>0.4631578947368421</v>
      </c>
    </row>
    <row r="9" spans="1:45" ht="130.5" customHeight="1" x14ac:dyDescent="0.3">
      <c r="B9" s="25" t="s">
        <v>8</v>
      </c>
      <c r="E9" s="35">
        <f>Measurement!C8</f>
        <v>17</v>
      </c>
      <c r="F9" s="35">
        <f>Measurement!D8</f>
        <v>28</v>
      </c>
      <c r="G9" s="35">
        <f>Measurement!E8</f>
        <v>12</v>
      </c>
      <c r="H9" s="35">
        <f>Measurement!F8</f>
        <v>0</v>
      </c>
      <c r="I9" s="35">
        <f>Measurement!G8</f>
        <v>0</v>
      </c>
      <c r="J9" s="35">
        <f>Measurement!H8</f>
        <v>0</v>
      </c>
      <c r="K9" s="35">
        <f>Measurement!I8</f>
        <v>0</v>
      </c>
      <c r="L9" s="35">
        <f>Measurement!J8</f>
        <v>0</v>
      </c>
      <c r="M9" s="35">
        <f>Measurement!K8</f>
        <v>0</v>
      </c>
      <c r="N9" s="35">
        <f>Measurement!L8</f>
        <v>21</v>
      </c>
      <c r="O9" s="35">
        <f>Measurement!M8</f>
        <v>23</v>
      </c>
      <c r="P9" s="35">
        <f>Measurement!N8</f>
        <v>21</v>
      </c>
      <c r="Q9" s="35">
        <f>Measurement!O8</f>
        <v>10</v>
      </c>
      <c r="R9" s="35">
        <f>Measurement!P8</f>
        <v>9</v>
      </c>
      <c r="S9" s="35">
        <f>Measurement!Q8</f>
        <v>7</v>
      </c>
      <c r="T9" s="35">
        <f>Measurement!R8</f>
        <v>33</v>
      </c>
      <c r="U9" s="35">
        <f>Measurement!S8</f>
        <v>38</v>
      </c>
      <c r="V9" s="35">
        <f>Measurement!T8</f>
        <v>28</v>
      </c>
      <c r="W9" s="35">
        <f>Measurement!U8</f>
        <v>17</v>
      </c>
      <c r="X9" s="35">
        <f>Measurement!V8</f>
        <v>20</v>
      </c>
      <c r="Y9" s="35">
        <f>Measurement!W8</f>
        <v>22</v>
      </c>
      <c r="Z9" s="35">
        <f>Measurement!X8</f>
        <v>16</v>
      </c>
      <c r="AA9" s="35">
        <f>Measurement!Y8</f>
        <v>25</v>
      </c>
      <c r="AB9" s="35">
        <f>Measurement!Z8</f>
        <v>10</v>
      </c>
      <c r="AC9" s="35">
        <f>Measurement!AA8</f>
        <v>25</v>
      </c>
      <c r="AD9" s="35">
        <f>Measurement!AB8</f>
        <v>20</v>
      </c>
      <c r="AE9" s="35">
        <f>Measurement!AC8</f>
        <v>11</v>
      </c>
      <c r="AF9" s="35">
        <f>Measurement!AD8</f>
        <v>21</v>
      </c>
      <c r="AG9" s="35">
        <f>Measurement!AE8</f>
        <v>0</v>
      </c>
      <c r="AH9" s="35">
        <f>Measurement!AF8</f>
        <v>0</v>
      </c>
      <c r="AI9" s="35">
        <f>Measurement!AG8</f>
        <v>0</v>
      </c>
      <c r="AJ9" s="35">
        <f>Measurement!AH8</f>
        <v>0</v>
      </c>
      <c r="AK9" s="35">
        <f>Measurement!AI8</f>
        <v>0</v>
      </c>
      <c r="AL9" s="35">
        <f>Measurement!AJ8</f>
        <v>0</v>
      </c>
      <c r="AM9" s="35">
        <f>Measurement!AK7/Measurement!AK8</f>
        <v>0.66666666666666663</v>
      </c>
      <c r="AN9" s="35">
        <f>Measurement!AL7/Measurement!AL8</f>
        <v>0.52941176470588236</v>
      </c>
      <c r="AO9" s="35">
        <f>Measurement!AM8</f>
        <v>0</v>
      </c>
      <c r="AP9" s="35">
        <f>Measurement!AN8</f>
        <v>0</v>
      </c>
      <c r="AQ9" s="35">
        <f>Measurement!AO8</f>
        <v>25</v>
      </c>
      <c r="AR9" s="35">
        <f>Measurement!AP8</f>
        <v>0</v>
      </c>
    </row>
    <row r="10" spans="1:45" ht="102" customHeight="1" x14ac:dyDescent="0.3">
      <c r="B10" s="25" t="s">
        <v>9</v>
      </c>
      <c r="C10" s="24" t="s">
        <v>10</v>
      </c>
      <c r="E10" s="35">
        <f>Measurement!C9/Measurement!C10</f>
        <v>0.56662804171494785</v>
      </c>
      <c r="F10" s="35">
        <f>Measurement!D9/Measurement!D10</f>
        <v>0.52309468822170901</v>
      </c>
      <c r="G10" s="35">
        <f>Measurement!E9/Measurement!E10</f>
        <v>0.60602549246813442</v>
      </c>
      <c r="H10" s="35">
        <f>Measurement!F9/Measurement!F10</f>
        <v>1</v>
      </c>
      <c r="I10" s="35">
        <f>Measurement!G9/Measurement!G10</f>
        <v>1</v>
      </c>
      <c r="J10" s="35">
        <f>Measurement!H9/Measurement!H10</f>
        <v>1</v>
      </c>
      <c r="K10" s="35">
        <f>Measurement!I9/Measurement!I10</f>
        <v>1</v>
      </c>
      <c r="L10" s="35">
        <f>Measurement!J9/Measurement!J10</f>
        <v>1</v>
      </c>
      <c r="M10" s="35">
        <f>Measurement!K9/Measurement!K10</f>
        <v>1</v>
      </c>
      <c r="N10" s="35">
        <f>Measurement!L9/Measurement!L10</f>
        <v>0.76525821596244137</v>
      </c>
      <c r="O10" s="35">
        <f>Measurement!M9/Measurement!M10</f>
        <v>0.75176470588235289</v>
      </c>
      <c r="P10" s="35">
        <f>Measurement!N9/Measurement!N10</f>
        <v>0.75205640423031728</v>
      </c>
      <c r="Q10" s="35">
        <f>Measurement!O9/Measurement!O10</f>
        <v>0.84265279583875163</v>
      </c>
      <c r="R10" s="35">
        <f>Measurement!P9/Measurement!P10</f>
        <v>0.83076923076923082</v>
      </c>
      <c r="S10" s="35">
        <f>Measurement!Q9/Measurement!Q10</f>
        <v>0.74137931034482762</v>
      </c>
      <c r="T10" s="35">
        <f>Measurement!R9/Measurement!R10</f>
        <v>0.90944881889763785</v>
      </c>
      <c r="U10" s="35">
        <f>Measurement!S9/Measurement!S10</f>
        <v>0.89766839378238339</v>
      </c>
      <c r="V10" s="35">
        <f>Measurement!T9/Measurement!T10</f>
        <v>0.92154255319148937</v>
      </c>
      <c r="W10" s="35">
        <f>Measurement!U9/Measurement!U10</f>
        <v>0.32038834951456313</v>
      </c>
      <c r="X10" s="35">
        <f>Measurement!V9/Measurement!V10</f>
        <v>0.65952380952380951</v>
      </c>
      <c r="Y10" s="35">
        <f>Measurement!W9/Measurement!W10</f>
        <v>0.27073170731707319</v>
      </c>
      <c r="Z10" s="35">
        <f>Measurement!X9/Measurement!X10</f>
        <v>0.73063583815028899</v>
      </c>
      <c r="AA10" s="35">
        <f>Measurement!Y9/Measurement!Y10</f>
        <v>0.71180555555555558</v>
      </c>
      <c r="AB10" s="35">
        <f>Measurement!Z9/Measurement!Z10</f>
        <v>0.74709976798143851</v>
      </c>
      <c r="AC10" s="35">
        <f>Measurement!AA9/Measurement!AA10</f>
        <v>0.61166666666666669</v>
      </c>
      <c r="AD10" s="35">
        <f>Measurement!AB9/Measurement!AB10</f>
        <v>0.64912280701754388</v>
      </c>
      <c r="AE10" s="35">
        <f>Measurement!AC9/Measurement!AC10</f>
        <v>0.55936073059360736</v>
      </c>
      <c r="AF10" s="35">
        <f>Measurement!AD9/Measurement!AD10</f>
        <v>0.48636363636363639</v>
      </c>
      <c r="AG10" s="35">
        <f>Measurement!AE9/Measurement!AE10</f>
        <v>1</v>
      </c>
      <c r="AH10" s="35">
        <f>Measurement!AF9/Measurement!AF10</f>
        <v>1</v>
      </c>
      <c r="AI10" s="35">
        <f>Measurement!AG9/Measurement!AG10</f>
        <v>1</v>
      </c>
      <c r="AJ10" s="35">
        <f>Measurement!AH9/Measurement!AH10</f>
        <v>1</v>
      </c>
      <c r="AK10" s="35">
        <f>Measurement!AI9/Measurement!AI10</f>
        <v>0.97790697674418603</v>
      </c>
      <c r="AL10" s="35">
        <f>Measurement!AJ9/Measurement!AJ10</f>
        <v>0.98039215686274506</v>
      </c>
      <c r="AM10" s="35">
        <f>Measurement!AK9/Measurement!AK5</f>
        <v>5.2564102564102564</v>
      </c>
      <c r="AN10" s="35">
        <f>Measurement!AL9/Measurement!AL5</f>
        <v>4.6311475409836067</v>
      </c>
      <c r="AO10" s="35">
        <f>Measurement!AM9/Measurement!AM10</f>
        <v>0.76773296244784428</v>
      </c>
      <c r="AP10" s="35">
        <f>Measurement!AN9/Measurement!AN10</f>
        <v>0.72229822161422708</v>
      </c>
      <c r="AQ10" s="35">
        <f>Measurement!AO9/Measurement!AO10</f>
        <v>0.60915492957746475</v>
      </c>
      <c r="AR10" s="35">
        <f>Measurement!AP9/Measurement!AP10</f>
        <v>1</v>
      </c>
    </row>
    <row r="11" spans="1:45" ht="49.5" customHeight="1" x14ac:dyDescent="0.3">
      <c r="B11" s="25" t="s">
        <v>11</v>
      </c>
      <c r="C11" s="24" t="s">
        <v>471</v>
      </c>
      <c r="D11" s="358"/>
      <c r="E11" s="35">
        <f>Measurement!C14/Measurement!C4</f>
        <v>1.5892857142857142</v>
      </c>
      <c r="F11" s="35">
        <f>Measurement!D14/Measurement!D4</f>
        <v>1.6321167883211678</v>
      </c>
      <c r="G11" s="35">
        <f>Measurement!E14/Measurement!E4</f>
        <v>2.6639999999999997</v>
      </c>
      <c r="H11" s="37" t="s">
        <v>191</v>
      </c>
      <c r="I11" s="37" t="s">
        <v>192</v>
      </c>
      <c r="J11" s="37" t="s">
        <v>192</v>
      </c>
      <c r="K11" s="37" t="s">
        <v>191</v>
      </c>
      <c r="L11" s="37" t="s">
        <v>191</v>
      </c>
      <c r="M11" s="37" t="s">
        <v>191</v>
      </c>
      <c r="N11" s="35">
        <f>Measurement!L14/Measurement!L4</f>
        <v>0.34074074074074073</v>
      </c>
      <c r="O11" s="35">
        <f>Measurement!M14/Measurement!M4</f>
        <v>6.6666666666666638E-2</v>
      </c>
      <c r="P11" s="35">
        <f>Measurement!N14/Measurement!N4</f>
        <v>-1.8367346938775481E-2</v>
      </c>
      <c r="Q11" s="35">
        <f>Measurement!O14/Measurement!O4</f>
        <v>1.0364864864864864</v>
      </c>
      <c r="R11" s="35">
        <f>Measurement!P14/Measurement!P4</f>
        <v>0.59523809523809523</v>
      </c>
      <c r="S11" s="35">
        <f>Measurement!Q14/Measurement!Q4</f>
        <v>1.5135135135135136</v>
      </c>
      <c r="T11" s="35">
        <f>Measurement!R14/Measurement!R4</f>
        <v>-0.75862068965517238</v>
      </c>
      <c r="U11" s="35">
        <f>Measurement!S14/Measurement!S4</f>
        <v>-0.72058823529411764</v>
      </c>
      <c r="V11" s="35">
        <f>Measurement!T14/Measurement!T4</f>
        <v>-0.8208333333333333</v>
      </c>
      <c r="W11" s="35">
        <f>Measurement!U14/Measurement!U4</f>
        <v>0.81707317073170727</v>
      </c>
      <c r="X11" s="35">
        <f>Measurement!V14/Measurement!V4</f>
        <v>0.3716666666666667</v>
      </c>
      <c r="Y11" s="35">
        <f>Measurement!W14/Measurement!W4</f>
        <v>1.1525000000000001</v>
      </c>
      <c r="Z11" s="35">
        <f>Measurement!X14/Measurement!X4</f>
        <v>1.1529411764705881</v>
      </c>
      <c r="AA11" s="35">
        <f>Measurement!Y14/Measurement!Y4</f>
        <v>0.76666666666666672</v>
      </c>
      <c r="AB11" s="35">
        <f>Measurement!Z14/Measurement!Z4</f>
        <v>1.3068181818181819</v>
      </c>
      <c r="AC11" s="35">
        <f>Measurement!AA14/Measurement!AA4</f>
        <v>0.19736842105263158</v>
      </c>
      <c r="AD11" s="35">
        <f>Measurement!AB14/Measurement!AB4</f>
        <v>0.74137931034482762</v>
      </c>
      <c r="AE11" s="35">
        <f>Measurement!AC14/Measurement!AC4</f>
        <v>1.233888888888889</v>
      </c>
      <c r="AF11" s="35">
        <f>Measurement!AD14/Measurement!AD4</f>
        <v>0.98064516129032253</v>
      </c>
      <c r="AG11" s="37" t="s">
        <v>250</v>
      </c>
      <c r="AH11" s="37" t="s">
        <v>250</v>
      </c>
      <c r="AI11" s="35">
        <f>Measurement!AG10</f>
        <v>850</v>
      </c>
      <c r="AJ11" s="35">
        <f>Measurement!AH10</f>
        <v>871</v>
      </c>
      <c r="AK11" s="35">
        <f>Measurement!AI10</f>
        <v>860</v>
      </c>
      <c r="AL11" s="35">
        <f>Measurement!AJ10</f>
        <v>918</v>
      </c>
      <c r="AM11" s="35">
        <f>Measurement!AK10</f>
        <v>922</v>
      </c>
      <c r="AN11" s="35">
        <f>Measurement!AL10</f>
        <v>937</v>
      </c>
      <c r="AO11" s="35">
        <f>Measurement!AM10</f>
        <v>719</v>
      </c>
      <c r="AP11" s="35">
        <f>Measurement!AN10</f>
        <v>731</v>
      </c>
      <c r="AQ11" s="35">
        <f>Measurement!AO10</f>
        <v>568</v>
      </c>
      <c r="AR11" s="35">
        <f>Measurement!AP10</f>
        <v>332</v>
      </c>
    </row>
    <row r="12" spans="1:45" ht="39" customHeight="1" x14ac:dyDescent="0.3">
      <c r="C12" s="26"/>
      <c r="D12" s="358"/>
      <c r="H12" s="35"/>
      <c r="I12" s="35"/>
      <c r="J12" s="35"/>
      <c r="K12" s="35"/>
      <c r="L12" s="35"/>
      <c r="M12" s="35"/>
      <c r="N12" s="35"/>
      <c r="O12" s="35"/>
      <c r="P12" s="35"/>
      <c r="Q12" s="35"/>
      <c r="R12" s="35"/>
      <c r="S12" s="35"/>
      <c r="T12" s="35"/>
      <c r="U12" s="35"/>
      <c r="V12" s="35"/>
      <c r="W12" s="35"/>
      <c r="X12" s="35"/>
      <c r="Y12" s="35"/>
      <c r="Z12" s="35"/>
      <c r="AA12" s="35"/>
      <c r="AB12" s="35"/>
      <c r="AC12" s="35"/>
      <c r="AD12" s="35"/>
      <c r="AE12" s="35"/>
      <c r="AF12" s="35"/>
      <c r="AG12" s="35"/>
      <c r="AH12" s="35"/>
      <c r="AI12" s="35"/>
      <c r="AJ12" s="35"/>
      <c r="AM12" s="35"/>
      <c r="AN12" s="35"/>
      <c r="AO12" s="35"/>
      <c r="AP12" s="35"/>
      <c r="AQ12" s="35"/>
      <c r="AR12" s="35"/>
    </row>
    <row r="13" spans="1:45" ht="39" customHeight="1" x14ac:dyDescent="0.3">
      <c r="B13" s="25" t="s">
        <v>2</v>
      </c>
      <c r="C13" s="26" t="s">
        <v>3</v>
      </c>
      <c r="D13" s="25"/>
      <c r="E13" s="35">
        <f>Measurement!C4/Measurement!C3</f>
        <v>0.7</v>
      </c>
      <c r="F13" s="35">
        <f>Measurement!D4/Measurement!D3</f>
        <v>0.6116071428571429</v>
      </c>
      <c r="G13" s="35">
        <f>Measurement!E4/Measurement!E3</f>
        <v>0.58333333333333337</v>
      </c>
      <c r="H13" s="35">
        <f>Measurement!F4/Measurement!F3</f>
        <v>0</v>
      </c>
      <c r="I13" s="35">
        <f>Measurement!G4/Measurement!G3</f>
        <v>0</v>
      </c>
      <c r="J13" s="35">
        <f>Measurement!H4/Measurement!H3</f>
        <v>0</v>
      </c>
      <c r="K13" s="35">
        <f>Measurement!I4/Measurement!I3</f>
        <v>0.55128205128205132</v>
      </c>
      <c r="L13" s="35">
        <f>Measurement!J4/Measurement!J3</f>
        <v>0.6216216216216216</v>
      </c>
      <c r="M13" s="35">
        <f>Measurement!K4/Measurement!K3</f>
        <v>0.52941176470588236</v>
      </c>
      <c r="N13" s="35">
        <f>Measurement!L4/Measurement!L3</f>
        <v>0.62790697674418605</v>
      </c>
      <c r="O13" s="35">
        <f>Measurement!M4/Measurement!M3</f>
        <v>0.71134020618556704</v>
      </c>
      <c r="P13" s="35">
        <f>Measurement!N4/Measurement!N3</f>
        <v>0.620253164556962</v>
      </c>
      <c r="Q13" s="35">
        <f>Measurement!O4/Measurement!O3</f>
        <v>0.29838709677419356</v>
      </c>
      <c r="R13" s="35">
        <f>Measurement!P4/Measurement!P3</f>
        <v>0.32307692307692309</v>
      </c>
      <c r="S13" s="35">
        <f>Measurement!Q4/Measurement!Q3</f>
        <v>1.0136986301369864</v>
      </c>
      <c r="T13" s="35">
        <f>Measurement!R4/Measurement!R3</f>
        <v>0.72499999999999998</v>
      </c>
      <c r="U13" s="35">
        <f>Measurement!S4/Measurement!S3</f>
        <v>0.75555555555555554</v>
      </c>
      <c r="V13" s="35">
        <f>Measurement!T4/Measurement!T3</f>
        <v>0.68571428571428572</v>
      </c>
      <c r="W13" s="35">
        <f>Measurement!U4/Measurement!U3</f>
        <v>0.50617283950617287</v>
      </c>
      <c r="X13" s="35">
        <f>Measurement!V4/Measurement!V3</f>
        <v>0.69767441860465118</v>
      </c>
      <c r="Y13" s="35">
        <f>Measurement!W4/Measurement!W3</f>
        <v>0.59701492537313428</v>
      </c>
      <c r="Z13" s="35">
        <f>Measurement!X4/Measurement!X3</f>
        <v>0.66233766233766234</v>
      </c>
      <c r="AA13" s="35">
        <f>Measurement!Y4/Measurement!Y3</f>
        <v>0.72289156626506024</v>
      </c>
      <c r="AB13" s="35">
        <f>Measurement!Z4/Measurement!Z3</f>
        <v>0.61971830985915488</v>
      </c>
      <c r="AC13" s="35">
        <f>Measurement!AA4/Measurement!AA3</f>
        <v>1.027027027027027</v>
      </c>
      <c r="AD13" s="35">
        <f>Measurement!AB4/Measurement!AB3</f>
        <v>1.2083333333333333</v>
      </c>
      <c r="AE13" s="35">
        <f>Measurement!AC4/Measurement!AC3</f>
        <v>0.72</v>
      </c>
      <c r="AF13" s="35">
        <f>Measurement!AD4/Measurement!AD3</f>
        <v>0.70454545454545459</v>
      </c>
      <c r="AG13" s="35">
        <f>Measurement!AE4/Measurement!AE3</f>
        <v>0</v>
      </c>
      <c r="AH13" s="35">
        <f>Measurement!AF4/Measurement!AF3</f>
        <v>0</v>
      </c>
      <c r="AI13" s="35">
        <f>Measurement!AG4/Measurement!AG3</f>
        <v>0</v>
      </c>
      <c r="AJ13" s="35">
        <f>Measurement!AH4/Measurement!AH3</f>
        <v>0</v>
      </c>
      <c r="AK13" s="35">
        <f>Measurement!AI4/Measurement!AI3</f>
        <v>0</v>
      </c>
      <c r="AL13" s="35">
        <f>Measurement!AJ4/Measurement!AJ3</f>
        <v>0</v>
      </c>
      <c r="AM13" s="35">
        <f>Measurement!AK4/Measurement!AK3</f>
        <v>0.91911764705882348</v>
      </c>
      <c r="AN13" s="35">
        <f>Measurement!AL4/Measurement!AL3</f>
        <v>0.75</v>
      </c>
      <c r="AO13" s="35">
        <f>Measurement!AM4/Measurement!AM3</f>
        <v>0</v>
      </c>
      <c r="AP13" s="35">
        <f>Measurement!AN4/Measurement!AN3</f>
        <v>0</v>
      </c>
      <c r="AQ13" s="35">
        <f>Measurement!AO4/Measurement!AO3</f>
        <v>1.1458333333333333</v>
      </c>
      <c r="AR13" s="35">
        <f>Measurement!AP4/Measurement!AP3</f>
        <v>0</v>
      </c>
    </row>
    <row r="14" spans="1:45" ht="110.25" customHeight="1" x14ac:dyDescent="0.3">
      <c r="B14" s="25" t="s">
        <v>15</v>
      </c>
      <c r="C14" s="26" t="s">
        <v>16</v>
      </c>
      <c r="E14" s="35">
        <f>Measurement!C16/Measurement!C3</f>
        <v>0.33750000000000002</v>
      </c>
      <c r="F14" s="35">
        <f>Measurement!D16/Measurement!D3</f>
        <v>0.18303571428571427</v>
      </c>
      <c r="G14" s="35">
        <f>Measurement!E16/Measurement!E3</f>
        <v>0.35</v>
      </c>
      <c r="H14" s="35">
        <f>Measurement!F16/Measurement!F3</f>
        <v>0</v>
      </c>
      <c r="I14" s="35">
        <f>Measurement!G16/Measurement!G3</f>
        <v>0</v>
      </c>
      <c r="J14" s="35">
        <f>Measurement!H16/Measurement!H3</f>
        <v>0</v>
      </c>
      <c r="K14" s="35">
        <f>Measurement!I16/Measurement!I3</f>
        <v>0.66666666666666663</v>
      </c>
      <c r="L14" s="35">
        <f>Measurement!J16/Measurement!J3</f>
        <v>0.5495495495495496</v>
      </c>
      <c r="M14" s="35">
        <f>Measurement!K16/Measurement!K3</f>
        <v>0.88235294117647056</v>
      </c>
      <c r="N14" s="35">
        <f>Measurement!L16/Measurement!L3</f>
        <v>0.18604651162790697</v>
      </c>
      <c r="O14" s="35">
        <f>Measurement!M16/Measurement!M3</f>
        <v>0.22680412371134021</v>
      </c>
      <c r="P14" s="35">
        <f>Measurement!N16/Measurement!N3</f>
        <v>0.24050632911392406</v>
      </c>
      <c r="Q14" s="35">
        <f>Measurement!O16/Measurement!O3</f>
        <v>0</v>
      </c>
      <c r="R14" s="35">
        <f>Measurement!P16/Measurement!P3</f>
        <v>0</v>
      </c>
      <c r="S14" s="35">
        <f>Measurement!Q16/Measurement!Q3</f>
        <v>0</v>
      </c>
      <c r="T14" s="35">
        <f>Measurement!R16/Measurement!R3</f>
        <v>0.05</v>
      </c>
      <c r="U14" s="35">
        <f>Measurement!S16/Measurement!S3</f>
        <v>4.4444444444444446E-2</v>
      </c>
      <c r="V14" s="35">
        <f>Measurement!T16/Measurement!T3</f>
        <v>5.7142857142857141E-2</v>
      </c>
      <c r="W14" s="35">
        <f>Measurement!U16/Measurement!U3</f>
        <v>0.18518518518518517</v>
      </c>
      <c r="X14" s="35">
        <f>Measurement!V16/Measurement!V3</f>
        <v>0.18604651162790697</v>
      </c>
      <c r="Y14" s="35">
        <f>Measurement!W16/Measurement!W3</f>
        <v>0.22388059701492538</v>
      </c>
      <c r="Z14" s="35">
        <f>Measurement!X16/Measurement!X3</f>
        <v>0.29870129870129869</v>
      </c>
      <c r="AA14" s="35">
        <f>Measurement!Y16/Measurement!Y3</f>
        <v>0.27710843373493976</v>
      </c>
      <c r="AB14" s="35">
        <f>Measurement!Z16/Measurement!Z3</f>
        <v>0.29577464788732394</v>
      </c>
      <c r="AC14" s="35">
        <f>Measurement!AA16/Measurement!AA3</f>
        <v>0.86486486486486491</v>
      </c>
      <c r="AD14" s="35">
        <f>Measurement!AB16/Measurement!AB3</f>
        <v>1.0625</v>
      </c>
      <c r="AE14" s="35">
        <f>Measurement!AC16/Measurement!AC3</f>
        <v>0.38</v>
      </c>
      <c r="AF14" s="35">
        <f>Measurement!AD16/Measurement!AD3</f>
        <v>0.375</v>
      </c>
      <c r="AG14" s="35">
        <f>Measurement!AE16/Measurement!AE3</f>
        <v>4.7619047619047616E-2</v>
      </c>
      <c r="AH14" s="35">
        <f>Measurement!AF16/Measurement!AF3</f>
        <v>2.3255813953488372E-2</v>
      </c>
      <c r="AI14" s="35">
        <f>Measurement!AG16/Measurement!AG3</f>
        <v>0</v>
      </c>
      <c r="AJ14" s="35">
        <f>Measurement!AH16/Measurement!AH3</f>
        <v>0</v>
      </c>
      <c r="AK14" s="35">
        <f>Measurement!AI16/Measurement!AI3</f>
        <v>0.20289855072463769</v>
      </c>
      <c r="AL14" s="35">
        <f>Measurement!AJ16/Measurement!AJ3</f>
        <v>0.1111111111111111</v>
      </c>
      <c r="AM14" s="35">
        <f>Measurement!AK16/Measurement!AK3</f>
        <v>0.48529411764705882</v>
      </c>
      <c r="AN14" s="35">
        <f>Measurement!AL16/Measurement!AL3</f>
        <v>0.375</v>
      </c>
      <c r="AO14" s="35">
        <f>Measurement!AM16/Measurement!AM3</f>
        <v>0.49180327868852458</v>
      </c>
      <c r="AP14" s="35">
        <f>Measurement!AN16/Measurement!AN3</f>
        <v>0.46242774566473988</v>
      </c>
      <c r="AQ14" s="35">
        <f>Measurement!AO16/Measurement!AO3</f>
        <v>0</v>
      </c>
      <c r="AR14" s="35">
        <f>Measurement!AP16/Measurement!AP3</f>
        <v>0</v>
      </c>
    </row>
    <row r="15" spans="1:45" ht="99.75" customHeight="1" x14ac:dyDescent="0.3">
      <c r="B15" s="25" t="s">
        <v>17</v>
      </c>
      <c r="C15" s="26" t="s">
        <v>31</v>
      </c>
      <c r="E15" s="35">
        <f>Measurement!C17/Measurement!C6</f>
        <v>0.20224719101123595</v>
      </c>
      <c r="F15" s="35">
        <f>Measurement!D17/Measurement!D6</f>
        <v>0.23443634324172744</v>
      </c>
      <c r="G15" s="35">
        <f>Measurement!E17/Measurement!E6</f>
        <v>0.18764044943820224</v>
      </c>
      <c r="H15" s="35">
        <f>Measurement!F17/Measurement!F6</f>
        <v>0</v>
      </c>
      <c r="I15" s="35">
        <f>Measurement!G17/Measurement!G6</f>
        <v>0</v>
      </c>
      <c r="J15" s="35">
        <f>Measurement!H17/Measurement!H6</f>
        <v>0</v>
      </c>
      <c r="K15" s="35">
        <f>Measurement!I17/Measurement!I6</f>
        <v>0</v>
      </c>
      <c r="L15" s="35">
        <f>Measurement!J17/Measurement!J6</f>
        <v>0</v>
      </c>
      <c r="M15" s="35">
        <f>Measurement!K17/Measurement!K6</f>
        <v>0</v>
      </c>
      <c r="N15" s="35">
        <f>Measurement!L17/Measurement!L6</f>
        <v>8.3426028921023354E-2</v>
      </c>
      <c r="O15" s="35">
        <f>Measurement!M17/Measurement!M6</f>
        <v>8.3148558758314853E-2</v>
      </c>
      <c r="P15" s="35">
        <f>Measurement!N17/Measurement!N6</f>
        <v>0.10122358175750834</v>
      </c>
      <c r="Q15" s="35">
        <f>Measurement!O17/Measurement!O6</f>
        <v>0.11755485893416928</v>
      </c>
      <c r="R15" s="35">
        <f>Measurement!P17/Measurement!P6</f>
        <v>0.12345679012345678</v>
      </c>
      <c r="S15" s="35">
        <f>Measurement!Q17/Measurement!Q6</f>
        <v>0.12934631432545202</v>
      </c>
      <c r="T15" s="35">
        <f>Measurement!R17/Measurement!R6</f>
        <v>3.8636363636363635E-2</v>
      </c>
      <c r="U15" s="35">
        <f>Measurement!S17/Measurement!S6</f>
        <v>4.3771043771043773E-2</v>
      </c>
      <c r="V15" s="35">
        <f>Measurement!T17/Measurement!T6</f>
        <v>3.3333333333333333E-2</v>
      </c>
      <c r="W15" s="35">
        <f>Measurement!U17/Measurement!U6</f>
        <v>0.275609756097561</v>
      </c>
      <c r="X15" s="35">
        <f>Measurement!V17/Measurement!V6</f>
        <v>0.36496350364963503</v>
      </c>
      <c r="Y15" s="35">
        <f>Measurement!W17/Measurement!W6</f>
        <v>0.33170731707317075</v>
      </c>
      <c r="Z15" s="35">
        <f>Measurement!X17/Measurement!X6</f>
        <v>0.22558922558922559</v>
      </c>
      <c r="AA15" s="35">
        <f>Measurement!Y17/Measurement!Y6</f>
        <v>0.2334455667789001</v>
      </c>
      <c r="AB15" s="35">
        <f>Measurement!Z17/Measurement!Z6</f>
        <v>0.21661054994388329</v>
      </c>
      <c r="AC15" s="35">
        <f>Measurement!AA17/Measurement!AA6</f>
        <v>0.13146997929606624</v>
      </c>
      <c r="AD15" s="35">
        <f>Measurement!AB17/Measurement!AB6</f>
        <v>0.11502590673575129</v>
      </c>
      <c r="AE15" s="35">
        <f>Measurement!AC17/Measurement!AC6</f>
        <v>0.24482758620689654</v>
      </c>
      <c r="AF15" s="35">
        <f>Measurement!AD17/Measurement!AD6</f>
        <v>0.26190476190476192</v>
      </c>
      <c r="AG15" s="35">
        <f>Measurement!AE17/Measurement!AE6</f>
        <v>0</v>
      </c>
      <c r="AH15" s="35">
        <f>Measurement!AF17/Measurement!AF6</f>
        <v>0</v>
      </c>
      <c r="AI15" s="35">
        <f>Measurement!AG17/Measurement!AG6</f>
        <v>0</v>
      </c>
      <c r="AJ15" s="35">
        <f>Measurement!AH17/Measurement!AH6</f>
        <v>0</v>
      </c>
      <c r="AK15" s="35">
        <f>Measurement!AI17/Measurement!AI6</f>
        <v>9.7613882863340565E-3</v>
      </c>
      <c r="AL15" s="35">
        <f>Measurement!AJ17/Measurement!AJ6</f>
        <v>8.2730093071354711E-3</v>
      </c>
      <c r="AM15" s="35">
        <f>Measurement!AK17/Measurement!AK6</f>
        <v>0.14462809917355371</v>
      </c>
      <c r="AN15" s="35">
        <f>Measurement!AL17/Measurement!AL6</f>
        <v>0.19672131147540983</v>
      </c>
      <c r="AO15" s="35">
        <f>Measurement!AM17/Measurement!AM6</f>
        <v>9.1517857142857137E-2</v>
      </c>
      <c r="AP15" s="35">
        <f>Measurement!AN17/Measurement!AN6</f>
        <v>0.11062431544359255</v>
      </c>
      <c r="AQ15" s="35">
        <f>Measurement!AO17/Measurement!AO6</f>
        <v>0.17614424410540916</v>
      </c>
      <c r="AR15" s="35">
        <f>Measurement!AP17/Measurement!AP6</f>
        <v>0</v>
      </c>
    </row>
    <row r="16" spans="1:45" ht="111.75" customHeight="1" x14ac:dyDescent="0.3">
      <c r="B16" s="25" t="s">
        <v>18</v>
      </c>
      <c r="C16" s="26" t="s">
        <v>84</v>
      </c>
      <c r="E16" s="35">
        <f>Measurement!C14/2</f>
        <v>44.5</v>
      </c>
      <c r="F16" s="35">
        <f>Measurement!D14/2</f>
        <v>55.9</v>
      </c>
      <c r="G16" s="35">
        <f>Measurement!E14/2</f>
        <v>46.62</v>
      </c>
      <c r="H16" s="35">
        <f>Measurement!F14/2</f>
        <v>0</v>
      </c>
      <c r="I16" s="35">
        <f>Measurement!G14/2</f>
        <v>0</v>
      </c>
      <c r="J16" s="35">
        <f>Measurement!H14/2</f>
        <v>0</v>
      </c>
      <c r="K16" s="35">
        <f>Measurement!I14/2</f>
        <v>0</v>
      </c>
      <c r="L16" s="35">
        <f>Measurement!J14/2</f>
        <v>0</v>
      </c>
      <c r="M16" s="35">
        <f>Measurement!K14/2</f>
        <v>0</v>
      </c>
      <c r="N16" s="35">
        <f>Measurement!L14/2</f>
        <v>9.1999999999999993</v>
      </c>
      <c r="O16" s="35">
        <f>Measurement!M14/2</f>
        <v>2.2999999999999989</v>
      </c>
      <c r="P16" s="35">
        <f>Measurement!N14/2</f>
        <v>-0.44999999999999929</v>
      </c>
      <c r="Q16" s="35">
        <f>Measurement!O14/2</f>
        <v>19.175000000000001</v>
      </c>
      <c r="R16" s="35">
        <f>Measurement!P14/2</f>
        <v>12.5</v>
      </c>
      <c r="S16" s="35">
        <f>Measurement!Q14/2</f>
        <v>56</v>
      </c>
      <c r="T16" s="35">
        <f>Measurement!R14/2</f>
        <v>-22</v>
      </c>
      <c r="U16" s="35">
        <f>Measurement!S14/2</f>
        <v>-24.5</v>
      </c>
      <c r="V16" s="35">
        <f>Measurement!T14/2</f>
        <v>-19.7</v>
      </c>
      <c r="W16" s="35">
        <f>Measurement!U14/2</f>
        <v>16.75</v>
      </c>
      <c r="X16" s="35">
        <f>Measurement!V14/2</f>
        <v>11.15</v>
      </c>
      <c r="Y16" s="35">
        <f>Measurement!W14/2</f>
        <v>23.05</v>
      </c>
      <c r="Z16" s="35">
        <f>Measurement!X14/2</f>
        <v>29.4</v>
      </c>
      <c r="AA16" s="35">
        <f>Measurement!Y14/2</f>
        <v>23</v>
      </c>
      <c r="AB16" s="35">
        <f>Measurement!Z14/2</f>
        <v>28.75</v>
      </c>
      <c r="AC16" s="35">
        <f>Measurement!AA14/2</f>
        <v>7.5</v>
      </c>
      <c r="AD16" s="35">
        <f>Measurement!AB14/2</f>
        <v>21.5</v>
      </c>
      <c r="AE16" s="35">
        <f>Measurement!AC14/2</f>
        <v>22.21</v>
      </c>
      <c r="AF16" s="35">
        <f>Measurement!AD14/2</f>
        <v>30.4</v>
      </c>
      <c r="AG16" s="35">
        <f>Measurement!AE14/2</f>
        <v>0</v>
      </c>
      <c r="AH16" s="35">
        <f>Measurement!AF14/2</f>
        <v>0</v>
      </c>
      <c r="AI16" s="35">
        <f>Measurement!AG14/2</f>
        <v>0</v>
      </c>
      <c r="AJ16" s="35">
        <f>Measurement!AH14/2</f>
        <v>0</v>
      </c>
      <c r="AK16" s="35">
        <f>Measurement!AI14/2</f>
        <v>0</v>
      </c>
      <c r="AL16" s="35">
        <f>Measurement!AJ14/2</f>
        <v>0</v>
      </c>
      <c r="AM16" s="35">
        <f>Measurement!AK14/2</f>
        <v>29.425000000000001</v>
      </c>
      <c r="AN16" s="35">
        <f>Measurement!AL14/2</f>
        <v>27.234999999999999</v>
      </c>
      <c r="AO16" s="35">
        <f>Measurement!AM14/2</f>
        <v>21.18</v>
      </c>
      <c r="AP16" s="35">
        <f>Measurement!AN14/2</f>
        <v>26.39</v>
      </c>
      <c r="AQ16" s="35">
        <f>Measurement!AO14/2</f>
        <v>23</v>
      </c>
      <c r="AR16" s="35">
        <f>Measurement!AP14/2</f>
        <v>0</v>
      </c>
    </row>
    <row r="17" spans="1:44" ht="84.75" customHeight="1" x14ac:dyDescent="0.3">
      <c r="B17" s="25" t="s">
        <v>14</v>
      </c>
      <c r="C17" s="24" t="s">
        <v>133</v>
      </c>
      <c r="E17" s="35">
        <f>Measurement!C17-(Measurement!C12/Measurement!C19)</f>
        <v>177.35135135135135</v>
      </c>
      <c r="F17" s="35">
        <f>Measurement!D17-(Measurement!D12/Measurement!D19)</f>
        <v>205</v>
      </c>
      <c r="G17" s="35">
        <f>Measurement!E17-(Measurement!E12/Measurement!E19)</f>
        <v>162.14285714285714</v>
      </c>
      <c r="H17" s="37" t="s">
        <v>191</v>
      </c>
      <c r="I17" s="37" t="s">
        <v>192</v>
      </c>
      <c r="J17" s="37" t="s">
        <v>192</v>
      </c>
      <c r="K17" s="35">
        <f>Measurement!I17-(Measurement!I12/Measurement!I19)</f>
        <v>0</v>
      </c>
      <c r="L17" s="35">
        <f>Measurement!J17-(Measurement!J12/Measurement!J19)</f>
        <v>0</v>
      </c>
      <c r="M17" s="35">
        <f>Measurement!K17-(Measurement!K12/Measurement!K19)</f>
        <v>0</v>
      </c>
      <c r="N17" s="35">
        <f>Measurement!L17-(Measurement!L12/Measurement!L19)</f>
        <v>74.147368421052633</v>
      </c>
      <c r="O17" s="35">
        <f>Measurement!M17-(Measurement!M12/Measurement!M19)</f>
        <v>74.326470588235296</v>
      </c>
      <c r="P17" s="35">
        <f>Measurement!N17-(Measurement!N12/Measurement!N19)</f>
        <v>90.442499999999995</v>
      </c>
      <c r="Q17" s="35">
        <f>Measurement!O17-(Measurement!O12/Measurement!O19)</f>
        <v>51.5</v>
      </c>
      <c r="R17" s="35">
        <f>Measurement!P17-(Measurement!P12/Measurement!P19)</f>
        <v>71</v>
      </c>
      <c r="S17" s="35">
        <f>Measurement!Q17-(Measurement!Q12/Measurement!Q19)</f>
        <v>51.333333333333336</v>
      </c>
      <c r="T17" s="35">
        <f>Measurement!R17-(Measurement!R12/Measurement!R19)</f>
        <v>34</v>
      </c>
      <c r="U17" s="35">
        <f>Measurement!S17-(Measurement!S12/Measurement!S19)</f>
        <v>39</v>
      </c>
      <c r="V17" s="35">
        <f>Measurement!T17-(Measurement!T12/Measurement!T19)</f>
        <v>29</v>
      </c>
      <c r="W17" s="35">
        <f>Measurement!U17-(Measurement!U12/Measurement!U19)</f>
        <v>109.86428571428571</v>
      </c>
      <c r="X17" s="35">
        <f>Measurement!V17-(Measurement!V12/Measurement!V19)</f>
        <v>145</v>
      </c>
      <c r="Y17" s="35">
        <f>Measurement!W17-(Measurement!W12/Measurement!W19)</f>
        <v>132.35714285714286</v>
      </c>
      <c r="Z17" s="35">
        <f>Measurement!X17-(Measurement!X12/Measurement!X19)</f>
        <v>198.5185185185185</v>
      </c>
      <c r="AA17" s="35">
        <f>Measurement!Y17-(Measurement!Y12/Measurement!Y19)</f>
        <v>205.85714285714286</v>
      </c>
      <c r="AB17" s="35">
        <f>Measurement!Z17-(Measurement!Z12/Measurement!Z19)</f>
        <v>190.72413793103448</v>
      </c>
      <c r="AC17" s="35">
        <f>Measurement!AA17-(Measurement!AA12/Measurement!AA19)</f>
        <v>125.125</v>
      </c>
      <c r="AD17" s="35">
        <f>Measurement!AB17-(Measurement!AB12/Measurement!AB19)</f>
        <v>106.78571428571429</v>
      </c>
      <c r="AE17" s="35">
        <f>Measurement!AC17-(Measurement!AC12/Measurement!AC19)</f>
        <v>211.72631578947369</v>
      </c>
      <c r="AF17" s="35">
        <f>Measurement!AD17-(Measurement!AD12/Measurement!AD19)</f>
        <v>217.78</v>
      </c>
      <c r="AG17" s="37" t="s">
        <v>250</v>
      </c>
      <c r="AH17" s="37" t="s">
        <v>250</v>
      </c>
      <c r="AI17" s="37" t="s">
        <v>250</v>
      </c>
      <c r="AJ17" s="37" t="s">
        <v>250</v>
      </c>
      <c r="AK17" s="37" t="s">
        <v>250</v>
      </c>
      <c r="AL17" s="37" t="s">
        <v>250</v>
      </c>
      <c r="AM17" s="35">
        <f>Measurement!AK17-(Measurement!AK12/Measurement!AK19)</f>
        <v>138.07049180327868</v>
      </c>
      <c r="AN17" s="35">
        <f>Measurement!AL17-(Measurement!AL12/Measurement!AL19)</f>
        <v>190.08877192982456</v>
      </c>
      <c r="AO17" s="37" t="s">
        <v>250</v>
      </c>
      <c r="AP17" s="37" t="s">
        <v>250</v>
      </c>
      <c r="AQ17" s="35">
        <f>Measurement!AO17-(Measurement!AO12/Measurement!AO19)</f>
        <v>126.63829787234043</v>
      </c>
      <c r="AR17" s="37" t="s">
        <v>250</v>
      </c>
    </row>
    <row r="18" spans="1:44" ht="109.5" customHeight="1" x14ac:dyDescent="0.3">
      <c r="B18" s="25" t="s">
        <v>85</v>
      </c>
      <c r="C18" s="24" t="s">
        <v>472</v>
      </c>
      <c r="E18" s="35">
        <f>Measurement!C4/Measurement!C17</f>
        <v>0.31111111111111112</v>
      </c>
      <c r="F18" s="35">
        <f>Measurement!D4/Measurement!D17</f>
        <v>0.32775119617224879</v>
      </c>
      <c r="G18" s="35">
        <f>Measurement!E4/Measurement!E17</f>
        <v>0.20958083832335328</v>
      </c>
      <c r="H18" s="37" t="s">
        <v>191</v>
      </c>
      <c r="I18" s="37" t="s">
        <v>192</v>
      </c>
      <c r="J18" s="37" t="s">
        <v>192</v>
      </c>
      <c r="K18" s="36" t="s">
        <v>199</v>
      </c>
      <c r="L18" s="36" t="s">
        <v>196</v>
      </c>
      <c r="M18" s="36" t="s">
        <v>196</v>
      </c>
      <c r="N18" s="35">
        <f>Measurement!L4/Measurement!L17</f>
        <v>0.72</v>
      </c>
      <c r="O18" s="35">
        <f>Measurement!M4/Measurement!M17</f>
        <v>0.92</v>
      </c>
      <c r="P18" s="35">
        <f>Measurement!N4/Measurement!N17</f>
        <v>0.53846153846153844</v>
      </c>
      <c r="Q18" s="35">
        <f>Measurement!O4/Measurement!O17</f>
        <v>0.49333333333333335</v>
      </c>
      <c r="R18" s="35">
        <f>Measurement!P4/Measurement!P17</f>
        <v>0.52500000000000002</v>
      </c>
      <c r="S18" s="35">
        <f>Measurement!Q4/Measurement!Q17</f>
        <v>0.79569892473118276</v>
      </c>
      <c r="T18" s="35">
        <f>Measurement!R4/Measurement!R17</f>
        <v>1.7058823529411764</v>
      </c>
      <c r="U18" s="35">
        <f>Measurement!S4/Measurement!S17</f>
        <v>1.7435897435897436</v>
      </c>
      <c r="V18" s="35">
        <f>Measurement!T4/Measurement!T17</f>
        <v>1.6551724137931034</v>
      </c>
      <c r="W18" s="35">
        <f>Measurement!U4/Measurement!U17</f>
        <v>0.36283185840707965</v>
      </c>
      <c r="X18" s="35">
        <f>Measurement!V4/Measurement!V17</f>
        <v>0.4</v>
      </c>
      <c r="Y18" s="35">
        <f>Measurement!W4/Measurement!W17</f>
        <v>0.29411764705882354</v>
      </c>
      <c r="Z18" s="35">
        <f>Measurement!X4/Measurement!X17</f>
        <v>0.2537313432835821</v>
      </c>
      <c r="AA18" s="35">
        <f>Measurement!Y4/Measurement!Y17</f>
        <v>0.28846153846153844</v>
      </c>
      <c r="AB18" s="35">
        <f>Measurement!Z4/Measurement!Z17</f>
        <v>0.22797927461139897</v>
      </c>
      <c r="AC18" s="35">
        <f>Measurement!AA4/Measurement!AA17</f>
        <v>0.59842519685039375</v>
      </c>
      <c r="AD18" s="35">
        <f>Measurement!AB4/Measurement!AB17</f>
        <v>0.52252252252252251</v>
      </c>
      <c r="AE18" s="35">
        <f>Measurement!AC4/Measurement!AC17</f>
        <v>0.16901408450704225</v>
      </c>
      <c r="AF18" s="35">
        <f>Measurement!AD4/Measurement!AD17</f>
        <v>0.2818181818181818</v>
      </c>
      <c r="AG18" s="37" t="s">
        <v>250</v>
      </c>
      <c r="AH18" s="37" t="s">
        <v>250</v>
      </c>
      <c r="AI18" s="37" t="s">
        <v>250</v>
      </c>
      <c r="AJ18" s="37" t="s">
        <v>250</v>
      </c>
      <c r="AK18" s="35">
        <f>Measurement!AI4/Measurement!AI17</f>
        <v>0</v>
      </c>
      <c r="AL18" s="35">
        <f>Measurement!AJ4/Measurement!AJ17</f>
        <v>0</v>
      </c>
      <c r="AM18" s="35">
        <f>Measurement!AK4/Measurement!AK17</f>
        <v>0.44642857142857145</v>
      </c>
      <c r="AN18" s="35">
        <f>Measurement!AL4/Measurement!AL17</f>
        <v>0.375</v>
      </c>
      <c r="AO18" s="35">
        <f>Measurement!AM4/Measurement!AM17</f>
        <v>0</v>
      </c>
      <c r="AP18" s="35">
        <f>Measurement!AN4/Measurement!AN17</f>
        <v>0</v>
      </c>
      <c r="AQ18" s="35">
        <f>Measurement!AO4/Measurement!AO17</f>
        <v>0.86614173228346458</v>
      </c>
      <c r="AR18" s="37" t="s">
        <v>250</v>
      </c>
    </row>
    <row r="19" spans="1:44" ht="109.5" customHeight="1" x14ac:dyDescent="0.3">
      <c r="B19" s="25" t="s">
        <v>86</v>
      </c>
      <c r="C19" s="26" t="s">
        <v>87</v>
      </c>
      <c r="E19" s="35">
        <f>Measurement!C17/Measurement!C6</f>
        <v>0.20224719101123595</v>
      </c>
      <c r="F19" s="35">
        <f>Measurement!D17/Measurement!D6</f>
        <v>0.23443634324172744</v>
      </c>
      <c r="G19" s="35">
        <f>Measurement!E17/Measurement!E6</f>
        <v>0.18764044943820224</v>
      </c>
      <c r="H19" s="35">
        <f>Measurement!F17/Measurement!F6</f>
        <v>0</v>
      </c>
      <c r="I19" s="35">
        <f>Measurement!G17/Measurement!G6</f>
        <v>0</v>
      </c>
      <c r="J19" s="35">
        <f>Measurement!H17/Measurement!H6</f>
        <v>0</v>
      </c>
      <c r="K19" s="35">
        <f>Measurement!I17/Measurement!I6</f>
        <v>0</v>
      </c>
      <c r="L19" s="35">
        <f>Measurement!J17/Measurement!J6</f>
        <v>0</v>
      </c>
      <c r="M19" s="35">
        <f>Measurement!K17/Measurement!K6</f>
        <v>0</v>
      </c>
      <c r="N19" s="35">
        <f>Measurement!L17/Measurement!L6</f>
        <v>8.3426028921023354E-2</v>
      </c>
      <c r="O19" s="35">
        <f>Measurement!M17/Measurement!M6</f>
        <v>8.3148558758314853E-2</v>
      </c>
      <c r="P19" s="35">
        <f>Measurement!N17/Measurement!N6</f>
        <v>0.10122358175750834</v>
      </c>
      <c r="Q19" s="35">
        <f>Measurement!O17/Measurement!O6</f>
        <v>0.11755485893416928</v>
      </c>
      <c r="R19" s="35">
        <f>Measurement!P17/Measurement!P6</f>
        <v>0.12345679012345678</v>
      </c>
      <c r="S19" s="35">
        <f>Measurement!Q17/Measurement!Q6</f>
        <v>0.12934631432545202</v>
      </c>
      <c r="T19" s="35">
        <f>Measurement!R17/Measurement!R6</f>
        <v>3.8636363636363635E-2</v>
      </c>
      <c r="U19" s="35">
        <f>Measurement!S17/Measurement!S6</f>
        <v>4.3771043771043773E-2</v>
      </c>
      <c r="V19" s="35">
        <f>Measurement!T17/Measurement!T6</f>
        <v>3.3333333333333333E-2</v>
      </c>
      <c r="W19" s="35">
        <f>Measurement!U17/Measurement!U6</f>
        <v>0.275609756097561</v>
      </c>
      <c r="X19" s="35">
        <f>Measurement!V17/Measurement!V6</f>
        <v>0.36496350364963503</v>
      </c>
      <c r="Y19" s="35">
        <f>Measurement!W17/Measurement!W6</f>
        <v>0.33170731707317075</v>
      </c>
      <c r="Z19" s="35">
        <f>Measurement!X17/Measurement!X6</f>
        <v>0.22558922558922559</v>
      </c>
      <c r="AA19" s="35">
        <f>Measurement!Y17/Measurement!Y6</f>
        <v>0.2334455667789001</v>
      </c>
      <c r="AB19" s="35">
        <f>Measurement!Z17/Measurement!Z6</f>
        <v>0.21661054994388329</v>
      </c>
      <c r="AC19" s="35">
        <f>Measurement!AA17/Measurement!AA6</f>
        <v>0.13146997929606624</v>
      </c>
      <c r="AD19" s="35">
        <f>Measurement!AB17/Measurement!AB6</f>
        <v>0.11502590673575129</v>
      </c>
      <c r="AE19" s="35">
        <f>Measurement!AC17/Measurement!AC6</f>
        <v>0.24482758620689654</v>
      </c>
      <c r="AF19" s="35">
        <f>Measurement!AD17/Measurement!AD6</f>
        <v>0.26190476190476192</v>
      </c>
      <c r="AG19" s="35">
        <f>Measurement!AE17/Measurement!AE6</f>
        <v>0</v>
      </c>
      <c r="AH19" s="35">
        <f>Measurement!AF17/Measurement!AF6</f>
        <v>0</v>
      </c>
      <c r="AI19" s="35">
        <f>Measurement!AG17/Measurement!AG6</f>
        <v>0</v>
      </c>
      <c r="AJ19" s="35">
        <f>Measurement!AH17/Measurement!AH6</f>
        <v>0</v>
      </c>
      <c r="AK19" s="35">
        <f>Measurement!AI17/Measurement!AI6</f>
        <v>9.7613882863340565E-3</v>
      </c>
      <c r="AL19" s="35">
        <f>Measurement!AJ17/Measurement!AJ6</f>
        <v>8.2730093071354711E-3</v>
      </c>
      <c r="AM19" s="35">
        <f>Measurement!AK17/Measurement!AK6</f>
        <v>0.14462809917355371</v>
      </c>
      <c r="AN19" s="35">
        <f>Measurement!AL17/Measurement!AL6</f>
        <v>0.19672131147540983</v>
      </c>
      <c r="AO19" s="35">
        <f>Measurement!AM17/Measurement!AM6</f>
        <v>9.1517857142857137E-2</v>
      </c>
      <c r="AP19" s="35">
        <f>Measurement!AN17/Measurement!AN6</f>
        <v>0.11062431544359255</v>
      </c>
      <c r="AQ19" s="35">
        <f>Measurement!AO17/Measurement!AO6</f>
        <v>0.17614424410540916</v>
      </c>
      <c r="AR19" s="35">
        <f>Measurement!AP17/Measurement!AP6</f>
        <v>0</v>
      </c>
    </row>
    <row r="20" spans="1:44" ht="99" customHeight="1" x14ac:dyDescent="0.3">
      <c r="B20" s="25" t="s">
        <v>12</v>
      </c>
      <c r="C20" s="24" t="s">
        <v>13</v>
      </c>
      <c r="E20" s="35">
        <f>Measurement!C17/Measurement!C18</f>
        <v>0.92783505154639179</v>
      </c>
      <c r="F20" s="35">
        <f>Measurement!D17/Measurement!D18</f>
        <v>1.0245098039215685</v>
      </c>
      <c r="G20" s="35">
        <f>Measurement!E17/Measurement!E18</f>
        <v>0.96531791907514453</v>
      </c>
      <c r="H20" s="37" t="s">
        <v>191</v>
      </c>
      <c r="I20" s="37" t="s">
        <v>192</v>
      </c>
      <c r="J20" s="37" t="s">
        <v>192</v>
      </c>
      <c r="K20" s="37" t="s">
        <v>196</v>
      </c>
      <c r="L20" s="37" t="s">
        <v>196</v>
      </c>
      <c r="M20" s="37" t="s">
        <v>196</v>
      </c>
      <c r="N20" s="35">
        <f>Measurement!L17/Measurement!L18</f>
        <v>0.6</v>
      </c>
      <c r="O20" s="35">
        <f>Measurement!M17/Measurement!M18</f>
        <v>0.66371681415929207</v>
      </c>
      <c r="P20" s="35">
        <f>Measurement!N17/Measurement!N18</f>
        <v>0.7583333333333333</v>
      </c>
      <c r="Q20" s="35">
        <f>Measurement!O17/Measurement!O18</f>
        <v>1.6304347826086956</v>
      </c>
      <c r="R20" s="35">
        <f>Measurement!P17/Measurement!P18</f>
        <v>1.5384615384615385</v>
      </c>
      <c r="S20" s="35">
        <f>Measurement!Q17/Measurement!Q18</f>
        <v>0.91176470588235292</v>
      </c>
      <c r="T20" s="35">
        <f>Measurement!R17/Measurement!R18</f>
        <v>0.97142857142857142</v>
      </c>
      <c r="U20" s="35">
        <f>Measurement!S17/Measurement!S18</f>
        <v>0.97499999999999998</v>
      </c>
      <c r="V20" s="35">
        <f>Measurement!T17/Measurement!T18</f>
        <v>0.96666666666666667</v>
      </c>
      <c r="W20" s="35">
        <f>Measurement!U17/Measurement!U18</f>
        <v>0.67664670658682635</v>
      </c>
      <c r="X20" s="35">
        <f>Measurement!V17/Measurement!V18</f>
        <v>0.8875739644970414</v>
      </c>
      <c r="Y20" s="35">
        <f>Measurement!W17/Measurement!W18</f>
        <v>0.83435582822085885</v>
      </c>
      <c r="Z20" s="35">
        <f>Measurement!X17/Measurement!X18</f>
        <v>6.28125</v>
      </c>
      <c r="AA20" s="35">
        <f>Measurement!Y17/Measurement!Y18</f>
        <v>5.0731707317073171</v>
      </c>
      <c r="AB20" s="35">
        <f>Measurement!Z17/Measurement!Z18</f>
        <v>7.72</v>
      </c>
      <c r="AC20" s="35">
        <f>Measurement!AA17/Measurement!AA18</f>
        <v>1.1981132075471699</v>
      </c>
      <c r="AD20" s="35">
        <f>Measurement!AB17/Measurement!AB18</f>
        <v>1.247191011235955</v>
      </c>
      <c r="AE20" s="35">
        <f>Measurement!AC17/Measurement!AC18</f>
        <v>1.23121387283237</v>
      </c>
      <c r="AF20" s="35">
        <f>Measurement!AD17/Measurement!AD18</f>
        <v>0.94827586206896552</v>
      </c>
      <c r="AG20" s="37" t="s">
        <v>250</v>
      </c>
      <c r="AH20" s="37" t="s">
        <v>250</v>
      </c>
      <c r="AI20" s="37" t="s">
        <v>250</v>
      </c>
      <c r="AJ20" s="37" t="s">
        <v>250</v>
      </c>
      <c r="AK20" s="35">
        <f>Measurement!AI17/Measurement!AI18</f>
        <v>0.9</v>
      </c>
      <c r="AL20" s="35">
        <f>Measurement!AJ17/Measurement!AJ18</f>
        <v>0.8</v>
      </c>
      <c r="AM20" s="35">
        <f>Measurement!AK17/Measurement!AK18</f>
        <v>0.83832335329341312</v>
      </c>
      <c r="AN20" s="35">
        <f>Measurement!AL17/Measurement!AL18</f>
        <v>1.0666666666666667</v>
      </c>
      <c r="AO20" s="35">
        <f>Measurement!AM17/Measurement!AM18</f>
        <v>0.96470588235294119</v>
      </c>
      <c r="AP20" s="35">
        <f>Measurement!AN17/Measurement!AN18</f>
        <v>0.99019607843137258</v>
      </c>
      <c r="AQ20" s="35">
        <f>Measurement!AO17/Measurement!AO18</f>
        <v>1.1043478260869566</v>
      </c>
      <c r="AR20" s="274" t="s">
        <v>603</v>
      </c>
    </row>
    <row r="21" spans="1:44" ht="72.75" customHeight="1" x14ac:dyDescent="0.3">
      <c r="B21" s="27" t="s">
        <v>19</v>
      </c>
      <c r="C21" s="28" t="s">
        <v>20</v>
      </c>
      <c r="D21" s="28"/>
      <c r="E21" s="35">
        <f>Measurement!C21-(Measurement!C17-Measurement!C19)</f>
        <v>-120</v>
      </c>
      <c r="F21" s="35">
        <f>Measurement!D21-(Measurement!D17-Measurement!D19)</f>
        <v>-159</v>
      </c>
      <c r="G21" s="35">
        <f>Measurement!E21-(Measurement!E17-Measurement!E19)</f>
        <v>-119</v>
      </c>
      <c r="H21" s="37" t="s">
        <v>191</v>
      </c>
      <c r="I21" s="37" t="s">
        <v>192</v>
      </c>
      <c r="J21" s="37" t="s">
        <v>192</v>
      </c>
      <c r="K21" s="35">
        <f>Measurement!I21-(Measurement!I17-Measurement!I19)</f>
        <v>82</v>
      </c>
      <c r="L21" s="35">
        <f>Measurement!J21-(Measurement!J17-Measurement!J19)</f>
        <v>87</v>
      </c>
      <c r="M21" s="35">
        <f>Measurement!K21-(Measurement!K17-Measurement!K19)</f>
        <v>85</v>
      </c>
      <c r="N21" s="35">
        <f>Measurement!L21-(Measurement!L17-Measurement!L19)</f>
        <v>-18</v>
      </c>
      <c r="O21" s="35">
        <f>Measurement!M21-(Measurement!M17-Measurement!M19)</f>
        <v>-28</v>
      </c>
      <c r="P21" s="35">
        <f>Measurement!N21-(Measurement!N17-Measurement!N19)</f>
        <v>-28</v>
      </c>
      <c r="Q21" s="35">
        <f>Measurement!O21-(Measurement!O17-Measurement!O19)</f>
        <v>-59</v>
      </c>
      <c r="R21" s="35">
        <f>Measurement!P21-(Measurement!P17-Measurement!P19)</f>
        <v>-63</v>
      </c>
      <c r="S21" s="35">
        <f>Measurement!Q21-(Measurement!Q17-Measurement!Q19)</f>
        <v>-83</v>
      </c>
      <c r="T21" s="35">
        <f>Measurement!R21-(Measurement!R17-Measurement!R19)</f>
        <v>13</v>
      </c>
      <c r="U21" s="35">
        <f>Measurement!S21-(Measurement!S17-Measurement!S19)</f>
        <v>3</v>
      </c>
      <c r="V21" s="35">
        <f>Measurement!T21-(Measurement!T17-Measurement!T19)</f>
        <v>23</v>
      </c>
      <c r="W21" s="35">
        <f>Measurement!U21-(Measurement!U17-Measurement!U19)</f>
        <v>-87</v>
      </c>
      <c r="X21" s="35">
        <f>Measurement!V21-(Measurement!V17-Measurement!V19)</f>
        <v>-129</v>
      </c>
      <c r="Y21" s="35">
        <f>Measurement!W21-(Measurement!W17-Measurement!W19)</f>
        <v>-103</v>
      </c>
      <c r="Z21" s="35">
        <f>Measurement!X21-(Measurement!X17-Measurement!X19)</f>
        <v>-150</v>
      </c>
      <c r="AA21" s="35">
        <f>Measurement!Y21-(Measurement!Y17-Measurement!Y19)</f>
        <v>-165</v>
      </c>
      <c r="AB21" s="35">
        <f>Measurement!Z21-(Measurement!Z17-Measurement!Z19)</f>
        <v>-141</v>
      </c>
      <c r="AC21" s="35">
        <f>Measurement!AA21-(Measurement!AA17-Measurement!AA19)</f>
        <v>-93</v>
      </c>
      <c r="AD21" s="35">
        <f>Measurement!AB21-(Measurement!AB17-Measurement!AB19)</f>
        <v>-77</v>
      </c>
      <c r="AE21" s="35">
        <f>Measurement!AC21-(Measurement!AC17-Measurement!AC19)</f>
        <v>-159</v>
      </c>
      <c r="AF21" s="35">
        <f>Measurement!AD21-(Measurement!AD17-Measurement!AD19)</f>
        <v>-141</v>
      </c>
      <c r="AG21" s="37" t="s">
        <v>251</v>
      </c>
      <c r="AH21" s="37" t="s">
        <v>251</v>
      </c>
      <c r="AI21" s="35">
        <f>Measurement!AG21-(Measurement!AG17-Measurement!AG19)</f>
        <v>0</v>
      </c>
      <c r="AJ21" s="35">
        <f>Measurement!AH21-(Measurement!AH17-Measurement!AH19)</f>
        <v>0</v>
      </c>
      <c r="AK21" s="35">
        <f>Measurement!AI21-(Measurement!AI17-Measurement!AI19)</f>
        <v>-9</v>
      </c>
      <c r="AL21" s="35">
        <f>Measurement!AJ21-(Measurement!AJ17-Measurement!AJ19)</f>
        <v>-8</v>
      </c>
      <c r="AM21" s="35">
        <f>Measurement!AK21-(Measurement!AK17-Measurement!AK19)</f>
        <v>-74</v>
      </c>
      <c r="AN21" s="35">
        <f>Measurement!AL21-(Measurement!AL17-Measurement!AL19)</f>
        <v>-128.5</v>
      </c>
      <c r="AO21" s="35">
        <f>Measurement!AM21-(Measurement!AM17-Measurement!AM19)</f>
        <v>-57.5</v>
      </c>
      <c r="AP21" s="35">
        <f>Measurement!AN21-(Measurement!AN17-Measurement!AN19)</f>
        <v>-71.5</v>
      </c>
      <c r="AQ21" s="35">
        <f>Measurement!AO21-(Measurement!AO17-Measurement!AO19)</f>
        <v>-33</v>
      </c>
      <c r="AR21" s="35">
        <f>Measurement!AP21-(Measurement!AP17-Measurement!AP19)</f>
        <v>0</v>
      </c>
    </row>
    <row r="22" spans="1:44" ht="120.75" customHeight="1" x14ac:dyDescent="0.3">
      <c r="B22" s="25" t="s">
        <v>21</v>
      </c>
      <c r="C22" s="24" t="s">
        <v>22</v>
      </c>
      <c r="E22" s="35">
        <f>Measurement!C4/Measurement!C5</f>
        <v>0.5161290322580645</v>
      </c>
      <c r="F22" s="35">
        <f>Measurement!D4/Measurement!D5</f>
        <v>0.74863387978142082</v>
      </c>
      <c r="G22" s="35">
        <f>Measurement!E4/Measurement!E5</f>
        <v>0.34653465346534651</v>
      </c>
      <c r="H22" s="37" t="s">
        <v>191</v>
      </c>
      <c r="I22" s="37" t="s">
        <v>192</v>
      </c>
      <c r="J22" s="37" t="s">
        <v>192</v>
      </c>
      <c r="K22" s="35">
        <f>Measurement!I4/Measurement!I5</f>
        <v>0.46739130434782611</v>
      </c>
      <c r="L22" s="35">
        <f>Measurement!J4/Measurement!J5</f>
        <v>0.55645161290322576</v>
      </c>
      <c r="M22" s="35">
        <f>Measurement!K4/Measurement!K5</f>
        <v>0.36986301369863012</v>
      </c>
      <c r="N22" s="35">
        <f>Measurement!L4/Measurement!L5</f>
        <v>0.46153846153846156</v>
      </c>
      <c r="O22" s="35">
        <f>Measurement!M4/Measurement!M5</f>
        <v>0.55200000000000005</v>
      </c>
      <c r="P22" s="35">
        <f>Measurement!N4/Measurement!N5</f>
        <v>0.42982456140350878</v>
      </c>
      <c r="Q22" s="35">
        <f>Measurement!O4/Measurement!O5</f>
        <v>0.54411764705882348</v>
      </c>
      <c r="R22" s="35">
        <f>Measurement!P4/Measurement!P5</f>
        <v>0.54545454545454541</v>
      </c>
      <c r="S22" s="35">
        <f>Measurement!Q4/Measurement!Q5</f>
        <v>0.80434782608695654</v>
      </c>
      <c r="T22" s="35">
        <f>Measurement!R4/Measurement!R5</f>
        <v>1</v>
      </c>
      <c r="U22" s="35">
        <f>Measurement!S4/Measurement!S5</f>
        <v>1</v>
      </c>
      <c r="V22" s="35">
        <f>Measurement!T4/Measurement!T5</f>
        <v>1</v>
      </c>
      <c r="W22" s="35">
        <f>Measurement!U4/Measurement!U5</f>
        <v>0.49397590361445781</v>
      </c>
      <c r="X22" s="35">
        <f>Measurement!V4/Measurement!V5</f>
        <v>0.66666666666666663</v>
      </c>
      <c r="Y22" s="35">
        <f>Measurement!W4/Measurement!W5</f>
        <v>0.20725388601036268</v>
      </c>
      <c r="Z22" s="35">
        <f>Measurement!X4/Measurement!X5</f>
        <v>0.46363636363636362</v>
      </c>
      <c r="AA22" s="35">
        <f>Measurement!Y4/Measurement!Y5</f>
        <v>0.51282051282051277</v>
      </c>
      <c r="AB22" s="35">
        <f>Measurement!Z4/Measurement!Z5</f>
        <v>0.42307692307692307</v>
      </c>
      <c r="AC22" s="35">
        <f>Measurement!AA4/Measurement!AA5</f>
        <v>0.60317460317460314</v>
      </c>
      <c r="AD22" s="35">
        <f>Measurement!AB4/Measurement!AB5</f>
        <v>0.5178571428571429</v>
      </c>
      <c r="AE22" s="35">
        <f>Measurement!AC4/Measurement!AC5</f>
        <v>0.50704225352112675</v>
      </c>
      <c r="AF22" s="35">
        <f>Measurement!AD4/Measurement!AD5</f>
        <v>0.46616541353383456</v>
      </c>
      <c r="AG22" s="37" t="s">
        <v>250</v>
      </c>
      <c r="AH22" s="37" t="s">
        <v>250</v>
      </c>
      <c r="AI22" s="35" t="s">
        <v>654</v>
      </c>
      <c r="AQ22" s="35">
        <f>Measurement!AO4/Measurement!AO5</f>
        <v>0.58510638297872342</v>
      </c>
      <c r="AR22" s="35" t="s">
        <v>603</v>
      </c>
    </row>
    <row r="23" spans="1:44" ht="84" customHeight="1" x14ac:dyDescent="0.3">
      <c r="B23" s="25" t="s">
        <v>2</v>
      </c>
      <c r="C23" s="26" t="s">
        <v>3</v>
      </c>
      <c r="E23" s="35">
        <f>Measurement!C4/Measurement!C3</f>
        <v>0.7</v>
      </c>
      <c r="F23" s="35">
        <f>Measurement!D4/Measurement!D3</f>
        <v>0.6116071428571429</v>
      </c>
      <c r="G23" s="35">
        <f>Measurement!E4/Measurement!E3</f>
        <v>0.58333333333333337</v>
      </c>
      <c r="H23" s="35">
        <f>Measurement!F4/Measurement!F3</f>
        <v>0</v>
      </c>
      <c r="I23" s="35">
        <f>Measurement!G4/Measurement!G3</f>
        <v>0</v>
      </c>
      <c r="J23" s="35">
        <f>Measurement!H4/Measurement!H3</f>
        <v>0</v>
      </c>
      <c r="K23" s="35">
        <f>Measurement!I4/Measurement!I3</f>
        <v>0.55128205128205132</v>
      </c>
      <c r="L23" s="35">
        <f>Measurement!J4/Measurement!J3</f>
        <v>0.6216216216216216</v>
      </c>
      <c r="M23" s="35">
        <f>Measurement!K4/Measurement!K3</f>
        <v>0.52941176470588236</v>
      </c>
      <c r="N23" s="35">
        <f>Measurement!L4/Measurement!L3</f>
        <v>0.62790697674418605</v>
      </c>
      <c r="O23" s="35">
        <f>Measurement!M4/Measurement!M3</f>
        <v>0.71134020618556704</v>
      </c>
      <c r="P23" s="35">
        <f>Measurement!N4/Measurement!N3</f>
        <v>0.620253164556962</v>
      </c>
      <c r="Q23" s="35">
        <f>Measurement!O4/Measurement!O3</f>
        <v>0.29838709677419356</v>
      </c>
      <c r="R23" s="35">
        <f>Measurement!P4/Measurement!P3</f>
        <v>0.32307692307692309</v>
      </c>
      <c r="S23" s="35">
        <f>Measurement!Q4/Measurement!Q3</f>
        <v>1.0136986301369864</v>
      </c>
      <c r="T23" s="35">
        <f>Measurement!R4/Measurement!R3</f>
        <v>0.72499999999999998</v>
      </c>
      <c r="U23" s="35">
        <f>Measurement!S4/Measurement!S3</f>
        <v>0.75555555555555554</v>
      </c>
      <c r="V23" s="35">
        <f>Measurement!T4/Measurement!T3</f>
        <v>0.68571428571428572</v>
      </c>
      <c r="W23" s="35">
        <f>Measurement!U4/Measurement!U3</f>
        <v>0.50617283950617287</v>
      </c>
      <c r="X23" s="35">
        <f>Measurement!V4/Measurement!V3</f>
        <v>0.69767441860465118</v>
      </c>
      <c r="Y23" s="35">
        <f>Measurement!W4/Measurement!W3</f>
        <v>0.59701492537313428</v>
      </c>
      <c r="Z23" s="35">
        <f>Measurement!X4/Measurement!X3</f>
        <v>0.66233766233766234</v>
      </c>
      <c r="AA23" s="35">
        <f>Measurement!Y4/Measurement!Y3</f>
        <v>0.72289156626506024</v>
      </c>
      <c r="AB23" s="35">
        <f>Measurement!Z4/Measurement!Z3</f>
        <v>0.61971830985915488</v>
      </c>
      <c r="AC23" s="35">
        <f>Measurement!AA4/Measurement!AA3</f>
        <v>1.027027027027027</v>
      </c>
      <c r="AD23" s="35">
        <f>Measurement!AB4/Measurement!AB3</f>
        <v>1.2083333333333333</v>
      </c>
      <c r="AE23" s="35">
        <f>Measurement!AC4/Measurement!AC3</f>
        <v>0.72</v>
      </c>
      <c r="AF23" s="35">
        <f>Measurement!AD4/Measurement!AD3</f>
        <v>0.70454545454545459</v>
      </c>
      <c r="AG23" s="35">
        <f>Measurement!AE4/Measurement!AE3</f>
        <v>0</v>
      </c>
      <c r="AH23" s="35">
        <f>Measurement!AF4/Measurement!AF3</f>
        <v>0</v>
      </c>
      <c r="AI23" s="35">
        <f>Measurement!AG4/Measurement!AG3</f>
        <v>0</v>
      </c>
      <c r="AQ23" s="35">
        <f>Measurement!AO4/Measurement!AO3</f>
        <v>1.1458333333333333</v>
      </c>
      <c r="AR23" s="35">
        <f>Measurement!AP4/Measurement!AP3</f>
        <v>0</v>
      </c>
    </row>
    <row r="24" spans="1:44" s="21" customFormat="1" x14ac:dyDescent="0.3">
      <c r="A24" s="21">
        <v>3</v>
      </c>
      <c r="B24" s="22" t="s">
        <v>89</v>
      </c>
      <c r="E24" s="33"/>
      <c r="F24" s="33"/>
      <c r="G24" s="33"/>
      <c r="H24" s="33"/>
      <c r="I24" s="33"/>
      <c r="J24" s="33"/>
      <c r="N24" s="33"/>
      <c r="O24" s="33"/>
      <c r="P24" s="33"/>
      <c r="Q24" s="33"/>
      <c r="R24" s="33"/>
      <c r="S24" s="33"/>
      <c r="T24" s="33"/>
      <c r="U24" s="33"/>
      <c r="V24" s="33"/>
      <c r="W24" s="33"/>
      <c r="X24" s="33"/>
      <c r="Y24" s="33"/>
      <c r="Z24" s="33"/>
      <c r="AA24" s="33"/>
      <c r="AB24" s="33"/>
      <c r="AC24" s="33"/>
      <c r="AD24" s="33"/>
      <c r="AE24" s="33"/>
      <c r="AF24" s="33"/>
      <c r="AG24" s="33"/>
      <c r="AH24" s="33"/>
    </row>
    <row r="25" spans="1:44" ht="38.25" customHeight="1" x14ac:dyDescent="0.3">
      <c r="B25" s="25" t="s">
        <v>90</v>
      </c>
      <c r="C25" s="24" t="s">
        <v>91</v>
      </c>
      <c r="E25" s="35">
        <f>Measurement!C6/Measurement!C23</f>
        <v>11.410256410256411</v>
      </c>
      <c r="F25" s="35">
        <f>Measurement!D6/Measurement!D23</f>
        <v>7.9598214285714288</v>
      </c>
      <c r="G25" s="35">
        <f>Measurement!E6/Measurement!E23</f>
        <v>14.833333333333334</v>
      </c>
      <c r="H25" s="35">
        <f>Measurement!F6/Measurement!F23</f>
        <v>10.113636363636363</v>
      </c>
      <c r="I25" s="35">
        <f>Measurement!G6/Measurement!G23</f>
        <v>7.5982905982905979</v>
      </c>
      <c r="J25" s="35">
        <f>Measurement!H6/Measurement!H23</f>
        <v>13.088235294117647</v>
      </c>
      <c r="K25" s="35">
        <f>Measurement!I6/Measurement!I23</f>
        <v>12.051282051282051</v>
      </c>
      <c r="L25" s="35">
        <f>Measurement!J6/Measurement!J23</f>
        <v>8.468468468468469</v>
      </c>
      <c r="M25" s="35">
        <f>Measurement!K6/Measurement!K23</f>
        <v>18.431372549019606</v>
      </c>
      <c r="N25" s="35">
        <f>Measurement!L6/Measurement!L23</f>
        <v>10.453488372093023</v>
      </c>
      <c r="O25" s="35">
        <f>Measurement!M6/Measurement!M23</f>
        <v>8.9306930693069315</v>
      </c>
      <c r="P25" s="35">
        <f>Measurement!N6/Measurement!N23</f>
        <v>11.525641025641026</v>
      </c>
      <c r="Q25" s="35">
        <f>Measurement!O6/Measurement!O23</f>
        <v>6.134615384615385</v>
      </c>
      <c r="R25" s="35">
        <f>Measurement!P6/Measurement!P23</f>
        <v>5.6842105263157894</v>
      </c>
      <c r="S25" s="35">
        <f>Measurement!Q6/Measurement!Q23</f>
        <v>10.271428571428572</v>
      </c>
      <c r="T25" s="35">
        <f>Measurement!R6/Measurement!R23</f>
        <v>11</v>
      </c>
      <c r="U25" s="35">
        <f>Measurement!S6/Measurement!S23</f>
        <v>9.9</v>
      </c>
      <c r="V25" s="35">
        <f>Measurement!T6/Measurement!T23</f>
        <v>12.428571428571429</v>
      </c>
      <c r="W25" s="35">
        <f>Measurement!U6/Measurement!U23</f>
        <v>5.0617283950617287</v>
      </c>
      <c r="X25" s="35">
        <f>Measurement!V6/Measurement!V23</f>
        <v>3.7706422018348622</v>
      </c>
      <c r="Y25" s="35">
        <f>Measurement!W6/Measurement!W23</f>
        <v>7.068965517241379</v>
      </c>
      <c r="Z25" s="35">
        <f>Measurement!X6/Measurement!X23</f>
        <v>11.571428571428571</v>
      </c>
      <c r="AA25" s="35">
        <f>Measurement!Y6/Measurement!Y23</f>
        <v>9.791208791208792</v>
      </c>
      <c r="AB25" s="35">
        <f>Measurement!Z6/Measurement!Z23</f>
        <v>13.298507462686567</v>
      </c>
      <c r="AC25" s="35">
        <f>Measurement!AA6/Measurement!AA23</f>
        <v>12.545454545454545</v>
      </c>
      <c r="AD25" s="35">
        <f>Measurement!AB6/Measurement!AB23</f>
        <v>19.693877551020407</v>
      </c>
      <c r="AE25" s="35">
        <f>Measurement!AC6/Measurement!AC23</f>
        <v>16.73076923076923</v>
      </c>
      <c r="AF25" s="35">
        <f>Measurement!AD6/Measurement!AD23</f>
        <v>9.4382022471910112</v>
      </c>
      <c r="AG25" s="35">
        <f>Measurement!AE6/Measurement!AE23</f>
        <v>13.19047619047619</v>
      </c>
      <c r="AH25" s="35">
        <f>Measurement!AF6/Measurement!AF23</f>
        <v>9.5813953488372086</v>
      </c>
    </row>
    <row r="26" spans="1:44" s="21" customFormat="1" x14ac:dyDescent="0.3">
      <c r="A26" s="21">
        <v>4</v>
      </c>
      <c r="B26" s="22" t="s">
        <v>92</v>
      </c>
      <c r="E26" s="33"/>
      <c r="F26" s="33"/>
      <c r="G26" s="33"/>
      <c r="K26" s="33"/>
      <c r="L26" s="33"/>
      <c r="M26" s="33"/>
    </row>
    <row r="27" spans="1:44" ht="20.100000000000001" customHeight="1" x14ac:dyDescent="0.3">
      <c r="B27" s="25" t="s">
        <v>93</v>
      </c>
      <c r="C27" s="24" t="s">
        <v>94</v>
      </c>
      <c r="E27" s="35">
        <f>(Measurement!C25+Measurement!C26)/2</f>
        <v>815.5</v>
      </c>
      <c r="F27" s="35">
        <f>(Measurement!D25+Measurement!D26)/2</f>
        <v>807</v>
      </c>
      <c r="G27" s="35">
        <f>(Measurement!E25+Measurement!E26)/2</f>
        <v>813</v>
      </c>
      <c r="H27" s="35">
        <f>(Measurement!F25+Measurement!F26)/2</f>
        <v>769.5</v>
      </c>
      <c r="I27" s="35">
        <f>(Measurement!G25+Measurement!G26)/2</f>
        <v>799</v>
      </c>
      <c r="J27" s="35">
        <f>(Measurement!H25+Measurement!H26)/2</f>
        <v>754</v>
      </c>
      <c r="K27" s="35">
        <f>(Measurement!I25+Measurement!I26)/2</f>
        <v>856</v>
      </c>
      <c r="L27" s="35">
        <f>(Measurement!J25+Measurement!J26)/2</f>
        <v>855.5</v>
      </c>
      <c r="M27" s="35">
        <f>(Measurement!K25+Measurement!K26)/2</f>
        <v>856</v>
      </c>
      <c r="N27" s="35">
        <f>(Measurement!L25+Measurement!L26)/2</f>
        <v>859</v>
      </c>
      <c r="O27" s="35">
        <f>(Measurement!M25+Measurement!M26)/2</f>
        <v>871</v>
      </c>
      <c r="P27" s="35">
        <f>(Measurement!N25+Measurement!N26)/2</f>
        <v>851</v>
      </c>
      <c r="Q27" s="35">
        <f>(Measurement!O25+Measurement!O26)/2</f>
        <v>882</v>
      </c>
      <c r="R27" s="35">
        <f>(Measurement!P25+Measurement!P26)/2</f>
        <v>845</v>
      </c>
      <c r="S27" s="35">
        <f>(Measurement!Q25+Measurement!Q26)/2</f>
        <v>865.5</v>
      </c>
      <c r="T27" s="35">
        <f>(Measurement!R25+Measurement!R26)/2</f>
        <v>801.5</v>
      </c>
      <c r="U27" s="35">
        <f>(Measurement!S25+Measurement!S26)/2</f>
        <v>801.5</v>
      </c>
      <c r="V27" s="35">
        <f>(Measurement!T25+Measurement!T26)/2</f>
        <v>801.5</v>
      </c>
      <c r="W27" s="35">
        <f>(Measurement!U25+Measurement!U26)/2</f>
        <v>629.5</v>
      </c>
      <c r="X27" s="35">
        <f>(Measurement!V25+Measurement!V26)/2</f>
        <v>623</v>
      </c>
      <c r="Y27" s="35">
        <f>(Measurement!W25+Measurement!W26)/2</f>
        <v>618</v>
      </c>
      <c r="Z27" s="35">
        <f>(Measurement!X25+Measurement!X26)/2</f>
        <v>815</v>
      </c>
      <c r="AA27" s="35">
        <f>(Measurement!Y25+Measurement!Y26)/2</f>
        <v>820.5</v>
      </c>
      <c r="AB27" s="35">
        <f>(Measurement!Z25+Measurement!Z26)/2</f>
        <v>813</v>
      </c>
      <c r="AC27" s="35">
        <f>(Measurement!AA25+Measurement!AA26)/2</f>
        <v>890.5</v>
      </c>
      <c r="AD27" s="35">
        <f>(Measurement!AB25+Measurement!AB26)/2</f>
        <v>828</v>
      </c>
      <c r="AE27" s="35">
        <f>(Measurement!AC25+Measurement!AC26)/2</f>
        <v>851.5</v>
      </c>
      <c r="AF27" s="35">
        <f>(Measurement!AD25+Measurement!AD26)/2</f>
        <v>854.5</v>
      </c>
      <c r="AG27" s="35">
        <f>(Measurement!AE25+Measurement!AE26)/2</f>
        <v>794</v>
      </c>
      <c r="AH27" s="35">
        <f>(Measurement!AF25+Measurement!AF26)/2</f>
        <v>859.5</v>
      </c>
      <c r="AI27" s="35">
        <f>(Measurement!AG25+Measurement!AG26)/2</f>
        <v>806.5</v>
      </c>
      <c r="AJ27" s="35">
        <f>(Measurement!AH25+Measurement!AH26)/2</f>
        <v>816</v>
      </c>
      <c r="AK27" s="35">
        <f>(Measurement!AI25+Measurement!AI26)/2</f>
        <v>808</v>
      </c>
      <c r="AL27" s="35">
        <f>(Measurement!AJ25+Measurement!AJ26)/2</f>
        <v>837.5</v>
      </c>
      <c r="AM27" s="35">
        <f>(Measurement!AK25+Measurement!AK26)/2</f>
        <v>883.5</v>
      </c>
      <c r="AN27" s="35">
        <f>(Measurement!AL25+Measurement!AL26)/2</f>
        <v>898</v>
      </c>
      <c r="AO27" s="35">
        <f>(Measurement!AM25+Measurement!AM26)/2</f>
        <v>709.25</v>
      </c>
      <c r="AP27" s="35">
        <f>(Measurement!AN25+Measurement!AN26)/2</f>
        <v>716.25</v>
      </c>
      <c r="AQ27" s="35">
        <f>(Measurement!AO25+Measurement!AO26)/2</f>
        <v>649</v>
      </c>
      <c r="AR27" s="35">
        <f>(Measurement!AP25+Measurement!AP26)/2</f>
        <v>580</v>
      </c>
    </row>
    <row r="28" spans="1:44" ht="20.100000000000001" customHeight="1" x14ac:dyDescent="0.3">
      <c r="B28" s="25" t="s">
        <v>95</v>
      </c>
      <c r="C28" s="24" t="s">
        <v>96</v>
      </c>
      <c r="E28" s="35">
        <f>(Measurement!C27+Measurement!C28)/2</f>
        <v>852.5</v>
      </c>
      <c r="F28" s="35">
        <f>(Measurement!D27+Measurement!D28)/2</f>
        <v>870.5</v>
      </c>
      <c r="G28" s="35">
        <f>(Measurement!E27+Measurement!E28)/2</f>
        <v>842.5</v>
      </c>
      <c r="H28" s="35">
        <f>(Measurement!F27+Measurement!F28)/2</f>
        <v>840</v>
      </c>
      <c r="I28" s="35">
        <f>(Measurement!G27+Measurement!G28)/2</f>
        <v>839.5</v>
      </c>
      <c r="J28" s="35">
        <f>(Measurement!H27+Measurement!H28)/2</f>
        <v>860.5</v>
      </c>
      <c r="K28" s="35">
        <f>(Measurement!I27+Measurement!I28)/2</f>
        <v>876.5</v>
      </c>
      <c r="L28" s="35">
        <f>(Measurement!J27+Measurement!J28)/2</f>
        <v>876.5</v>
      </c>
      <c r="M28" s="35">
        <f>(Measurement!K27+Measurement!K28)/2</f>
        <v>875</v>
      </c>
      <c r="N28" s="35">
        <f>(Measurement!L27+Measurement!L28)/2</f>
        <v>900</v>
      </c>
      <c r="O28" s="35">
        <f>(Measurement!M27+Measurement!M28)/2</f>
        <v>914</v>
      </c>
      <c r="P28" s="35">
        <f>(Measurement!N27+Measurement!N28)/2</f>
        <v>888</v>
      </c>
      <c r="Q28" s="35">
        <f>(Measurement!O27+Measurement!O28)/2</f>
        <v>882.5</v>
      </c>
      <c r="R28" s="35">
        <f>(Measurement!P27+Measurement!P28)/2</f>
        <v>769</v>
      </c>
      <c r="S28" s="35">
        <f>(Measurement!Q27+Measurement!Q28)/2</f>
        <v>877</v>
      </c>
      <c r="T28" s="35">
        <f>(Measurement!R27+Measurement!R28)/2</f>
        <v>823.5</v>
      </c>
      <c r="U28" s="35">
        <f>(Measurement!S27+Measurement!S28)/2</f>
        <v>824.5</v>
      </c>
      <c r="V28" s="35">
        <f>(Measurement!T27+Measurement!T28)/2</f>
        <v>824</v>
      </c>
      <c r="W28" s="35">
        <f>(Measurement!U27+Measurement!U28)/2</f>
        <v>632.5</v>
      </c>
      <c r="X28" s="35">
        <f>(Measurement!V27+Measurement!V28)/2</f>
        <v>639.5</v>
      </c>
      <c r="Y28" s="35">
        <f>(Measurement!W27+Measurement!W28)/2</f>
        <v>630.5</v>
      </c>
      <c r="Z28" s="35">
        <f>(Measurement!X27+Measurement!X28)/2</f>
        <v>867</v>
      </c>
      <c r="AA28" s="35">
        <f>(Measurement!Y27+Measurement!Y28)/2</f>
        <v>866.5</v>
      </c>
      <c r="AB28" s="35">
        <f>(Measurement!Z27+Measurement!Z28)/2</f>
        <v>870.5</v>
      </c>
      <c r="AC28" s="35">
        <f>(Measurement!AA27+Measurement!AA28)/2</f>
        <v>887</v>
      </c>
      <c r="AD28" s="35">
        <f>(Measurement!AB27+Measurement!AB28)/2</f>
        <v>850</v>
      </c>
      <c r="AE28" s="35">
        <f>(Measurement!AC27+Measurement!AC28)/2</f>
        <v>889.5</v>
      </c>
      <c r="AF28" s="35">
        <f>(Measurement!AD27+Measurement!AD28)/2</f>
        <v>917</v>
      </c>
      <c r="AG28" s="35">
        <f>(Measurement!AE27+Measurement!AE28)/2</f>
        <v>888</v>
      </c>
      <c r="AH28" s="35">
        <f>(Measurement!AF27+Measurement!AF28)/2</f>
        <v>933</v>
      </c>
      <c r="AI28" s="35">
        <f>(Measurement!AG27+Measurement!AG28)/2</f>
        <v>874</v>
      </c>
      <c r="AJ28" s="35">
        <f>(Measurement!AH27+Measurement!AH28)/2</f>
        <v>876</v>
      </c>
      <c r="AK28" s="35">
        <f>(Measurement!AI27+Measurement!AI28)/2</f>
        <v>889.5</v>
      </c>
      <c r="AL28" s="35">
        <f>(Measurement!AJ27+Measurement!AJ28)/2</f>
        <v>905</v>
      </c>
      <c r="AM28" s="35">
        <f>(Measurement!AK27+Measurement!AK28)/2</f>
        <v>947</v>
      </c>
      <c r="AN28" s="35">
        <f>(Measurement!AL27+Measurement!AL28)/2</f>
        <v>963.5</v>
      </c>
      <c r="AO28" s="35">
        <f>(Measurement!AM27+Measurement!AM28)/2</f>
        <v>782</v>
      </c>
      <c r="AP28" s="35">
        <f>(Measurement!AN27+Measurement!AN28)/2</f>
        <v>787.5</v>
      </c>
      <c r="AQ28" s="35">
        <f>(Measurement!AO27+Measurement!AO28)/2</f>
        <v>651.5</v>
      </c>
      <c r="AR28" s="35">
        <f>(Measurement!AP27+Measurement!AP28)/2</f>
        <v>625</v>
      </c>
    </row>
    <row r="29" spans="1:44" ht="20.100000000000001" customHeight="1" x14ac:dyDescent="0.3">
      <c r="H29" s="35"/>
      <c r="I29" s="35"/>
      <c r="J29" s="35"/>
      <c r="K29" s="35"/>
      <c r="L29" s="35"/>
      <c r="M29" s="35"/>
      <c r="N29" s="35"/>
      <c r="O29" s="35"/>
      <c r="P29" s="35"/>
      <c r="Q29" s="35"/>
      <c r="R29" s="35"/>
      <c r="S29" s="35"/>
      <c r="T29" s="35"/>
      <c r="U29" s="35"/>
      <c r="V29" s="35"/>
      <c r="W29" s="35"/>
      <c r="X29" s="35"/>
      <c r="Y29" s="35"/>
      <c r="Z29" s="35"/>
      <c r="AA29" s="35"/>
      <c r="AB29" s="35"/>
      <c r="AC29" s="35"/>
      <c r="AD29" s="35"/>
      <c r="AE29" s="35"/>
      <c r="AF29" s="35"/>
      <c r="AG29" s="35"/>
      <c r="AH29" s="35"/>
      <c r="AI29" s="35"/>
      <c r="AJ29" s="35"/>
      <c r="AK29" s="35"/>
      <c r="AL29" s="35"/>
      <c r="AM29" s="35"/>
      <c r="AN29" s="35"/>
      <c r="AO29" s="35"/>
      <c r="AP29" s="35"/>
      <c r="AQ29" s="35"/>
      <c r="AR29" s="35"/>
    </row>
    <row r="30" spans="1:44" ht="20.100000000000001" customHeight="1" x14ac:dyDescent="0.3">
      <c r="B30" s="25" t="s">
        <v>97</v>
      </c>
      <c r="C30" s="24" t="s">
        <v>98</v>
      </c>
      <c r="E30" s="35">
        <f>Measurement!C24/E27</f>
        <v>1.637032495401594</v>
      </c>
      <c r="F30" s="35">
        <f>Measurement!D24/F27</f>
        <v>1.6570631970260223</v>
      </c>
      <c r="G30" s="35">
        <f>Measurement!E24/G27</f>
        <v>1.6420664206642066</v>
      </c>
      <c r="H30" s="35">
        <f>Measurement!F24/H27</f>
        <v>1.7348927875243665</v>
      </c>
      <c r="I30" s="35">
        <f>Measurement!G24/I27</f>
        <v>1.6689612015018773</v>
      </c>
      <c r="J30" s="35">
        <f>Measurement!H24/J27</f>
        <v>1.7705570291777188</v>
      </c>
      <c r="K30" s="35">
        <f>Measurement!I24/K27</f>
        <v>1.6471962616822431</v>
      </c>
      <c r="L30" s="35">
        <f>Measurement!J24/L27</f>
        <v>1.6481589713617768</v>
      </c>
      <c r="M30" s="35">
        <f>Measurement!K24/M27</f>
        <v>1.6471962616822431</v>
      </c>
      <c r="N30" s="35">
        <f>Measurement!L24/N27</f>
        <v>1.569848661233993</v>
      </c>
      <c r="O30" s="35">
        <f>Measurement!M24/O27</f>
        <v>1.5533869115958667</v>
      </c>
      <c r="P30" s="35">
        <f>Measurement!N24/P27</f>
        <v>1.5846063454759107</v>
      </c>
      <c r="Q30" s="35">
        <f>Measurement!O24/Q27</f>
        <v>1.0850340136054422</v>
      </c>
      <c r="R30" s="35">
        <f>Measurement!P24/R27</f>
        <v>1.1502958579881657</v>
      </c>
      <c r="S30" s="35">
        <f>Measurement!Q24/S27</f>
        <v>1.2461005199306758</v>
      </c>
      <c r="T30" s="35">
        <f>Measurement!R24/T27</f>
        <v>1.6469120399251405</v>
      </c>
      <c r="U30" s="35">
        <f>Measurement!S24/U27</f>
        <v>1.6674984404242046</v>
      </c>
      <c r="V30" s="35">
        <f>Measurement!T24/V27</f>
        <v>1.6281971303805365</v>
      </c>
      <c r="W30" s="35">
        <f>Measurement!U24/W27</f>
        <v>0.9769658459094519</v>
      </c>
      <c r="X30" s="35">
        <f>Measurement!V24/X27</f>
        <v>0.9895666131621188</v>
      </c>
      <c r="Y30" s="35">
        <f>Measurement!W24/Y27</f>
        <v>0.99514563106796117</v>
      </c>
      <c r="Z30" s="35">
        <f>Measurement!X24/Z27</f>
        <v>1.639877300613497</v>
      </c>
      <c r="AA30" s="35">
        <f>Measurement!Y24/AA27</f>
        <v>1.6288848263254114</v>
      </c>
      <c r="AB30" s="35">
        <f>Measurement!Z24/AB27</f>
        <v>1.6439114391143912</v>
      </c>
      <c r="AC30" s="35">
        <f>Measurement!AA24/AC27</f>
        <v>1.6271757439640651</v>
      </c>
      <c r="AD30" s="35">
        <f>Measurement!AB24/AD27</f>
        <v>1.7481884057971016</v>
      </c>
      <c r="AE30" s="35">
        <f>Measurement!AC24/AE27</f>
        <v>1.5325895478567235</v>
      </c>
      <c r="AF30" s="35">
        <f>Measurement!AD24/AF27</f>
        <v>1.4745465184318314</v>
      </c>
      <c r="AG30" s="35">
        <f>Measurement!AE24/AG27</f>
        <v>1.5698992443324937</v>
      </c>
      <c r="AH30" s="35">
        <f>Measurement!AF24/AH27</f>
        <v>1.4380453752181501</v>
      </c>
      <c r="AI30" s="35">
        <f>Measurement!AG24/AI27</f>
        <v>1.6980781153130813</v>
      </c>
      <c r="AJ30" s="35">
        <f>Measurement!AH24/AJ27</f>
        <v>1.7022058823529411</v>
      </c>
      <c r="AK30" s="35">
        <f>Measurement!AI24/AK27</f>
        <v>1.7116336633663367</v>
      </c>
      <c r="AL30" s="35">
        <f>Measurement!AJ24/AL27</f>
        <v>1.7319402985074628</v>
      </c>
      <c r="AM30" s="35">
        <f>Measurement!AK24/AM27</f>
        <v>1.6434634974533107</v>
      </c>
      <c r="AN30" s="35">
        <f>Measurement!AL24/AN27</f>
        <v>1.6302895322939865</v>
      </c>
      <c r="AO30" s="35">
        <f>Measurement!AM24/AO27</f>
        <v>1.8949594642227705</v>
      </c>
      <c r="AP30" s="35">
        <f>Measurement!AN24/AP27</f>
        <v>1.912041884816754</v>
      </c>
      <c r="AQ30" s="35">
        <f>Measurement!AO24/AQ27</f>
        <v>1.6664098613251155</v>
      </c>
      <c r="AR30" s="35">
        <f>Measurement!AP24/AR27</f>
        <v>0.71896551724137936</v>
      </c>
    </row>
    <row r="31" spans="1:44" ht="20.100000000000001" customHeight="1" x14ac:dyDescent="0.3">
      <c r="B31" s="25" t="s">
        <v>99</v>
      </c>
      <c r="C31" s="24" t="s">
        <v>100</v>
      </c>
      <c r="E31" s="35">
        <f>Measurement!C24/E28</f>
        <v>1.5659824046920821</v>
      </c>
      <c r="F31" s="35">
        <f>Measurement!D24/F28</f>
        <v>1.5361860999425618</v>
      </c>
      <c r="G31" s="35">
        <f>Measurement!E24/G28</f>
        <v>1.5845697329376855</v>
      </c>
      <c r="H31" s="35">
        <f>Measurement!F24/H28</f>
        <v>1.5892857142857142</v>
      </c>
      <c r="I31" s="35">
        <f>Measurement!G24/I28</f>
        <v>1.5884455032757594</v>
      </c>
      <c r="J31" s="35">
        <f>Measurement!H24/J28</f>
        <v>1.5514235909355025</v>
      </c>
      <c r="K31" s="35">
        <f>Measurement!I24/K28</f>
        <v>1.6086708499714775</v>
      </c>
      <c r="L31" s="35">
        <f>Measurement!J24/L28</f>
        <v>1.6086708499714775</v>
      </c>
      <c r="M31" s="35">
        <f>Measurement!K24/M28</f>
        <v>1.6114285714285714</v>
      </c>
      <c r="N31" s="35">
        <f>Measurement!L24/N28</f>
        <v>1.4983333333333333</v>
      </c>
      <c r="O31" s="35">
        <f>Measurement!M24/O28</f>
        <v>1.4803063457330417</v>
      </c>
      <c r="P31" s="35">
        <f>Measurement!N24/P28</f>
        <v>1.5185810810810811</v>
      </c>
      <c r="Q31" s="35">
        <f>Measurement!O24/Q28</f>
        <v>1.0844192634560907</v>
      </c>
      <c r="R31" s="35">
        <f>Measurement!P24/R28</f>
        <v>1.2639791937581275</v>
      </c>
      <c r="S31" s="35">
        <f>Measurement!Q24/S28</f>
        <v>1.2297605473204105</v>
      </c>
      <c r="T31" s="35">
        <f>Measurement!R24/T28</f>
        <v>1.6029143897996356</v>
      </c>
      <c r="U31" s="35">
        <f>Measurement!S24/U28</f>
        <v>1.6209824135839903</v>
      </c>
      <c r="V31" s="35">
        <f>Measurement!T24/V28</f>
        <v>1.5837378640776698</v>
      </c>
      <c r="W31" s="35">
        <f>Measurement!U24/W28</f>
        <v>0.97233201581027673</v>
      </c>
      <c r="X31" s="35">
        <f>Measurement!V24/X28</f>
        <v>0.96403440187646594</v>
      </c>
      <c r="Y31" s="35">
        <f>Measurement!W24/Y28</f>
        <v>0.97541633624107849</v>
      </c>
      <c r="Z31" s="35">
        <f>Measurement!X24/Z28</f>
        <v>1.5415224913494809</v>
      </c>
      <c r="AA31" s="35">
        <f>Measurement!Y24/AA28</f>
        <v>1.5424120023081362</v>
      </c>
      <c r="AB31" s="35">
        <f>Measurement!Z24/AB28</f>
        <v>1.5353245261344055</v>
      </c>
      <c r="AC31" s="35">
        <f>Measurement!AA24/AC28</f>
        <v>1.6335963923337091</v>
      </c>
      <c r="AD31" s="35">
        <f>Measurement!AB24/AD28</f>
        <v>1.7029411764705882</v>
      </c>
      <c r="AE31" s="35">
        <f>Measurement!AC24/AE28</f>
        <v>1.4671163575042159</v>
      </c>
      <c r="AF31" s="35">
        <f>Measurement!AD24/AF28</f>
        <v>1.3740458015267176</v>
      </c>
      <c r="AG31" s="35">
        <f>Measurement!AE24/AG28</f>
        <v>1.4037162162162162</v>
      </c>
      <c r="AH31" s="35">
        <f>Measurement!AF24/AH28</f>
        <v>1.32475884244373</v>
      </c>
      <c r="AI31" s="35">
        <f>Measurement!AG24/AI28</f>
        <v>1.5669336384439359</v>
      </c>
      <c r="AJ31" s="35">
        <f>Measurement!AH24/AJ28</f>
        <v>1.5856164383561644</v>
      </c>
      <c r="AK31" s="35">
        <f>Measurement!AI24/AK28</f>
        <v>1.554806070826307</v>
      </c>
      <c r="AL31" s="35">
        <f>Measurement!AJ24/AL28</f>
        <v>1.6027624309392265</v>
      </c>
      <c r="AM31" s="35">
        <f>Measurement!AK24/AM28</f>
        <v>1.5332629355860612</v>
      </c>
      <c r="AN31" s="35">
        <f>Measurement!AL24/AN28</f>
        <v>1.5194603009859886</v>
      </c>
      <c r="AO31" s="35">
        <f>Measurement!AM24/AO28</f>
        <v>1.7186700767263428</v>
      </c>
      <c r="AP31" s="35">
        <f>Measurement!AN24/AP28</f>
        <v>1.739047619047619</v>
      </c>
      <c r="AQ31" s="35">
        <f>Measurement!AO24/AQ28</f>
        <v>1.6600153491941674</v>
      </c>
      <c r="AR31" s="35">
        <f>Measurement!AP24/AR28</f>
        <v>0.66720000000000002</v>
      </c>
    </row>
    <row r="32" spans="1:44" ht="20.100000000000001" customHeight="1" x14ac:dyDescent="0.3">
      <c r="B32" s="29" t="s">
        <v>101</v>
      </c>
      <c r="C32" s="24" t="s">
        <v>102</v>
      </c>
      <c r="E32" s="35">
        <f t="shared" ref="E32:J32" si="0">E31/E30</f>
        <v>0.95659824046920827</v>
      </c>
      <c r="F32" s="35">
        <f t="shared" si="0"/>
        <v>0.92705341757610571</v>
      </c>
      <c r="G32" s="35">
        <f t="shared" si="0"/>
        <v>0.96498516320474781</v>
      </c>
      <c r="H32" s="35">
        <f t="shared" si="0"/>
        <v>0.91607142857142854</v>
      </c>
      <c r="I32" s="35">
        <f t="shared" si="0"/>
        <v>0.95175699821322213</v>
      </c>
      <c r="J32" s="35">
        <f t="shared" si="0"/>
        <v>0.87623474723997674</v>
      </c>
      <c r="K32" s="35">
        <f t="shared" ref="K32" si="1">K31/K30</f>
        <v>0.9766115231032515</v>
      </c>
      <c r="L32" s="35">
        <f t="shared" ref="L32" si="2">L31/L30</f>
        <v>0.97604107244723326</v>
      </c>
      <c r="M32" s="35">
        <f t="shared" ref="M32" si="3">M31/M30</f>
        <v>0.9782857142857142</v>
      </c>
      <c r="N32" s="35">
        <f t="shared" ref="N32" si="4">N31/N30</f>
        <v>0.95444444444444443</v>
      </c>
      <c r="O32" s="35">
        <f t="shared" ref="O32" si="5">O31/O30</f>
        <v>0.95295404814004392</v>
      </c>
      <c r="P32" s="35">
        <f t="shared" ref="P32:R32" si="6">P31/P30</f>
        <v>0.95833333333333337</v>
      </c>
      <c r="Q32" s="35">
        <f t="shared" si="6"/>
        <v>0.99943342776203981</v>
      </c>
      <c r="R32" s="35">
        <f t="shared" si="6"/>
        <v>1.0988296488946685</v>
      </c>
      <c r="S32" s="35">
        <f t="shared" ref="S32:AE32" si="7">S31/S30</f>
        <v>0.98688711516533645</v>
      </c>
      <c r="T32" s="35">
        <f t="shared" si="7"/>
        <v>0.97328476017000598</v>
      </c>
      <c r="U32" s="35">
        <f t="shared" si="7"/>
        <v>0.97210430563978167</v>
      </c>
      <c r="V32" s="35">
        <f t="shared" si="7"/>
        <v>0.97269417475728148</v>
      </c>
      <c r="W32" s="35">
        <f t="shared" si="7"/>
        <v>0.99525691699604757</v>
      </c>
      <c r="X32" s="35">
        <f t="shared" si="7"/>
        <v>0.97419859265050812</v>
      </c>
      <c r="Y32" s="35">
        <f t="shared" si="7"/>
        <v>0.98017446471054714</v>
      </c>
      <c r="Z32" s="35">
        <f t="shared" si="7"/>
        <v>0.94002306805074964</v>
      </c>
      <c r="AA32" s="35">
        <f t="shared" si="7"/>
        <v>0.9469128678592037</v>
      </c>
      <c r="AB32" s="35">
        <f t="shared" si="7"/>
        <v>0.93394600804135552</v>
      </c>
      <c r="AC32" s="35">
        <f t="shared" si="7"/>
        <v>1.0039458850056371</v>
      </c>
      <c r="AD32" s="35">
        <f t="shared" si="7"/>
        <v>0.97411764705882342</v>
      </c>
      <c r="AE32" s="35">
        <f t="shared" si="7"/>
        <v>0.9572793704328274</v>
      </c>
      <c r="AF32" s="35">
        <f t="shared" ref="AF32:AG32" si="8">AF31/AF30</f>
        <v>0.93184296619411133</v>
      </c>
      <c r="AG32" s="35">
        <f t="shared" si="8"/>
        <v>0.89414414414414412</v>
      </c>
      <c r="AH32" s="35">
        <f t="shared" ref="AH32:AQ32" si="9">AH31/AH30</f>
        <v>0.9212218649517685</v>
      </c>
      <c r="AI32" s="35">
        <f t="shared" si="9"/>
        <v>0.92276887871853541</v>
      </c>
      <c r="AJ32" s="35">
        <f t="shared" si="9"/>
        <v>0.93150684931506855</v>
      </c>
      <c r="AK32" s="35">
        <f t="shared" si="9"/>
        <v>0.90837549184935351</v>
      </c>
      <c r="AL32" s="35">
        <f t="shared" si="9"/>
        <v>0.92541436464088389</v>
      </c>
      <c r="AM32" s="35">
        <f t="shared" si="9"/>
        <v>0.93294614572333689</v>
      </c>
      <c r="AN32" s="35">
        <f t="shared" si="9"/>
        <v>0.93201868188894665</v>
      </c>
      <c r="AO32" s="35">
        <f t="shared" si="9"/>
        <v>0.90696930946291565</v>
      </c>
      <c r="AP32" s="35">
        <f t="shared" si="9"/>
        <v>0.9095238095238094</v>
      </c>
      <c r="AQ32" s="35">
        <f t="shared" si="9"/>
        <v>0.99616270145817354</v>
      </c>
      <c r="AR32" s="35">
        <f t="shared" ref="AR32" si="10">AR31/AR30</f>
        <v>0.92799999999999994</v>
      </c>
    </row>
    <row r="33" spans="1:44" ht="20.100000000000001" customHeight="1" x14ac:dyDescent="0.3">
      <c r="B33" s="29"/>
      <c r="H33" s="35"/>
      <c r="I33" s="35"/>
      <c r="J33" s="35"/>
      <c r="K33" s="35"/>
      <c r="L33" s="35"/>
      <c r="M33" s="35"/>
      <c r="N33" s="35"/>
      <c r="O33" s="35"/>
      <c r="P33" s="35"/>
      <c r="Q33" s="35"/>
      <c r="R33" s="35"/>
      <c r="S33" s="35"/>
      <c r="T33" s="35"/>
      <c r="U33" s="35"/>
      <c r="V33" s="35"/>
      <c r="W33" s="35"/>
      <c r="X33" s="35"/>
      <c r="Y33" s="35"/>
      <c r="Z33" s="35"/>
      <c r="AA33" s="35"/>
      <c r="AB33" s="35"/>
      <c r="AC33" s="35"/>
      <c r="AD33" s="35"/>
      <c r="AE33" s="35"/>
      <c r="AF33" s="35"/>
      <c r="AG33" s="35"/>
      <c r="AH33" s="35"/>
      <c r="AI33" s="35"/>
      <c r="AJ33" s="35"/>
      <c r="AK33" s="35"/>
      <c r="AL33" s="35"/>
      <c r="AM33" s="35"/>
      <c r="AN33" s="35"/>
      <c r="AO33" s="35"/>
      <c r="AP33" s="35"/>
      <c r="AQ33" s="35"/>
      <c r="AR33" s="35"/>
    </row>
    <row r="34" spans="1:44" ht="20.100000000000001" customHeight="1" x14ac:dyDescent="0.3">
      <c r="B34" s="18" t="s">
        <v>156</v>
      </c>
      <c r="C34" s="24" t="s">
        <v>155</v>
      </c>
      <c r="E34" s="35">
        <f>Measurement!C30/Measurement!C31</f>
        <v>0.81828703703703709</v>
      </c>
      <c r="F34" s="35">
        <f>Measurement!D30/Measurement!D31</f>
        <v>0.83048919226393625</v>
      </c>
      <c r="G34" s="35">
        <f>Measurement!E30/Measurement!E31</f>
        <v>0.80046403712296987</v>
      </c>
      <c r="H34" s="35">
        <f>Measurement!F30/Measurement!F31</f>
        <v>0.84216867469879519</v>
      </c>
      <c r="I34" s="35">
        <f>Measurement!G30/Measurement!G31</f>
        <v>0.80813953488372092</v>
      </c>
      <c r="J34" s="35">
        <f>Measurement!H30/Measurement!H31</f>
        <v>0.80946745562130173</v>
      </c>
      <c r="K34" s="35">
        <f>Measurement!I30/Measurement!I31</f>
        <v>0.8362168396770473</v>
      </c>
      <c r="L34" s="35">
        <f>Measurement!J30/Measurement!J31</f>
        <v>0.83852364475201846</v>
      </c>
      <c r="M34" s="35">
        <f>Measurement!K30/Measurement!K31</f>
        <v>0.83391003460207613</v>
      </c>
      <c r="N34" s="35">
        <f>Measurement!L30/Measurement!L31</f>
        <v>0.78397212543554007</v>
      </c>
      <c r="O34" s="35">
        <f>Measurement!M30/Measurement!M31</f>
        <v>0.79746835443037978</v>
      </c>
      <c r="P34" s="35">
        <f>Measurement!N30/Measurement!N31</f>
        <v>0.80071599045346065</v>
      </c>
      <c r="Q34" s="35">
        <f>Measurement!O30/Measurement!O31</f>
        <v>0.88470066518847001</v>
      </c>
      <c r="R34" s="35">
        <f>Measurement!P30/Measurement!P31</f>
        <v>0.92042755344418048</v>
      </c>
      <c r="S34" s="35">
        <f>Measurement!Q30/Measurement!Q31</f>
        <v>0.88479262672811065</v>
      </c>
      <c r="T34" s="35">
        <f>Measurement!R30/Measurement!R31</f>
        <v>0.88471502590673579</v>
      </c>
      <c r="U34" s="35">
        <f>Measurement!S30/Measurement!S31</f>
        <v>0.88471502590673579</v>
      </c>
      <c r="V34" s="35">
        <f>Measurement!T30/Measurement!T31</f>
        <v>0.98575129533678751</v>
      </c>
      <c r="W34" s="35">
        <f>Measurement!U30/Measurement!U31</f>
        <v>1.1289640591966172</v>
      </c>
      <c r="X34" s="35">
        <f>Measurement!V30/Measurement!V31</f>
        <v>1.0816326530612246</v>
      </c>
      <c r="Y34" s="35">
        <f>Measurement!W30/Measurement!W31</f>
        <v>1.1120507399577166</v>
      </c>
      <c r="Z34" s="35">
        <f>Measurement!X30/Measurement!X31</f>
        <v>0.83680555555555558</v>
      </c>
      <c r="AA34" s="35">
        <f>Measurement!Y30/Measurement!Y31</f>
        <v>0.83449883449883455</v>
      </c>
      <c r="AB34" s="35">
        <f>Measurement!Z30/Measurement!Z31</f>
        <v>0.80092592592592593</v>
      </c>
      <c r="AC34" s="35">
        <f>Measurement!AA30/Measurement!AA31</f>
        <v>0.92126909518213862</v>
      </c>
      <c r="AD34" s="35">
        <f>Measurement!AB30/Measurement!AB31</f>
        <v>0.92151898734177218</v>
      </c>
      <c r="AE34" s="35">
        <f>Measurement!AC30/Measurement!AC31</f>
        <v>0.82446206115515286</v>
      </c>
      <c r="AF34" s="35">
        <f>Measurement!AD30/Measurement!AD31</f>
        <v>0.80896478121664883</v>
      </c>
      <c r="AG34" s="35">
        <f>Measurement!AE30/Measurement!AE31</f>
        <v>0.84101941747572817</v>
      </c>
      <c r="AH34" s="35">
        <f>Measurement!AF30/Measurement!AF31</f>
        <v>0.8482142857142857</v>
      </c>
      <c r="AI34" s="35">
        <f>Measurement!AG30/Measurement!AG31</f>
        <v>0.80574712643678159</v>
      </c>
      <c r="AJ34" s="35">
        <f>Measurement!AH30/Measurement!AH31</f>
        <v>0.81621004566210043</v>
      </c>
      <c r="AK34" s="35">
        <f>Measurement!AI30/Measurement!AI31</f>
        <v>0.76818181818181819</v>
      </c>
      <c r="AL34" s="35">
        <f>Measurement!AJ30/Measurement!AJ31</f>
        <v>0.79644048943270296</v>
      </c>
      <c r="AM34" s="35">
        <f>Measurement!AK30/Measurement!AK31</f>
        <v>0.78441835645677693</v>
      </c>
      <c r="AN34" s="35">
        <f>Measurement!AL30/Measurement!AL31</f>
        <v>0.7880377754459601</v>
      </c>
      <c r="AO34" s="35">
        <f>Measurement!AM30/Measurement!AM31</f>
        <v>0.75616438356164384</v>
      </c>
      <c r="AP34" s="35">
        <f>Measurement!AN30/Measurement!AN31</f>
        <v>0.76684636118598382</v>
      </c>
      <c r="AQ34" s="35">
        <f>Measurement!AO30/Measurement!AO31</f>
        <v>1.1437007874015748</v>
      </c>
      <c r="AR34" s="35">
        <f>Measurement!AP30/Measurement!AP31</f>
        <v>1.0969162995594715</v>
      </c>
    </row>
    <row r="35" spans="1:44" ht="20.100000000000001" customHeight="1" x14ac:dyDescent="0.3">
      <c r="B35" s="25" t="s">
        <v>103</v>
      </c>
      <c r="C35" s="24" t="s">
        <v>104</v>
      </c>
      <c r="E35" s="35">
        <f>Measurement!C29/Measurement!C27</f>
        <v>1.0411280846063455</v>
      </c>
      <c r="F35" s="35">
        <f>Measurement!D29/Measurement!D27</f>
        <v>1.036046511627907</v>
      </c>
      <c r="G35" s="35">
        <f>Measurement!E29/Measurement!E27</f>
        <v>1.0694610778443114</v>
      </c>
      <c r="H35" s="35">
        <f>Measurement!F29/Measurement!F27</f>
        <v>1.0361726954492416</v>
      </c>
      <c r="I35" s="35">
        <f>Measurement!G29/Measurement!G27</f>
        <v>1.066746126340882</v>
      </c>
      <c r="J35" s="35">
        <f>Measurement!H29/Measurement!H27</f>
        <v>1.0378698224852072</v>
      </c>
      <c r="K35" s="35">
        <f>Measurement!I29/Measurement!I27</f>
        <v>1.0751708428246014</v>
      </c>
      <c r="L35" s="35">
        <f>Measurement!J29/Measurement!J27</f>
        <v>1.0797266514806378</v>
      </c>
      <c r="M35" s="35">
        <f>Measurement!K29/Measurement!K27</f>
        <v>1.0650684931506849</v>
      </c>
      <c r="N35" s="35">
        <f>Measurement!L29/Measurement!L27</f>
        <v>1.0089585666293392</v>
      </c>
      <c r="O35" s="35">
        <f>Measurement!M29/Measurement!M27</f>
        <v>1.0033112582781456</v>
      </c>
      <c r="P35" s="35">
        <f>Measurement!N29/Measurement!N27</f>
        <v>1.0113378684807257</v>
      </c>
      <c r="Q35" s="35">
        <f>Measurement!O29/Measurement!O27</f>
        <v>0.98216276477146047</v>
      </c>
      <c r="R35" s="35">
        <f>Measurement!P29/Measurement!P27</f>
        <v>1.1309523809523809</v>
      </c>
      <c r="S35" s="35">
        <f>Measurement!Q29/Measurement!Q27</f>
        <v>0.99435665914221216</v>
      </c>
      <c r="T35" s="35">
        <f>Measurement!R29/Measurement!R27</f>
        <v>1.0826245443499392</v>
      </c>
      <c r="U35" s="35">
        <f>Measurement!S29/Measurement!S27</f>
        <v>1.0825242718446602</v>
      </c>
      <c r="V35" s="35">
        <f>Measurement!T29/Measurement!T27</f>
        <v>1.0813106796116505</v>
      </c>
      <c r="W35" s="35">
        <f>Measurement!U29/Measurement!U27</f>
        <v>1.1267605633802817</v>
      </c>
      <c r="X35" s="35">
        <f>Measurement!V29/Measurement!V27</f>
        <v>1.1255813953488372</v>
      </c>
      <c r="Y35" s="35">
        <f>Measurement!W29/Measurement!W27</f>
        <v>1.1267605633802817</v>
      </c>
      <c r="Z35" s="35">
        <f>Measurement!X29/Measurement!X27</f>
        <v>1.0359212050984936</v>
      </c>
      <c r="AA35" s="35">
        <f>Measurement!Y29/Measurement!Y27</f>
        <v>1.0312138728323699</v>
      </c>
      <c r="AB35" s="35">
        <f>Measurement!Z29/Measurement!Z27</f>
        <v>1.0286368843069873</v>
      </c>
      <c r="AC35" s="35">
        <f>Measurement!AA29/Measurement!AA27</f>
        <v>1.0721533258173619</v>
      </c>
      <c r="AD35" s="35">
        <f>Measurement!AB29/Measurement!AB27</f>
        <v>1.108235294117647</v>
      </c>
      <c r="AE35" s="35">
        <f>Measurement!AC29/Measurement!AC27</f>
        <v>1.0449438202247192</v>
      </c>
      <c r="AF35" s="35">
        <f>Measurement!AD29/Measurement!AD27</f>
        <v>1.0662251655629138</v>
      </c>
      <c r="AG35" s="35">
        <f>Measurement!AE29/Measurement!AE27</f>
        <v>1.0022522522522523</v>
      </c>
      <c r="AH35" s="35">
        <f>Measurement!AF29/Measurement!AF27</f>
        <v>0.99456521739130432</v>
      </c>
      <c r="AI35" s="35">
        <f>Measurement!AG29/Measurement!AG27</f>
        <v>1.0530565167243369</v>
      </c>
      <c r="AJ35" s="35">
        <f>Measurement!AH29/Measurement!AH27</f>
        <v>1.0652920962199313</v>
      </c>
      <c r="AK35" s="35">
        <f>Measurement!AI29/Measurement!AI27</f>
        <v>1.0393700787401574</v>
      </c>
      <c r="AL35" s="35">
        <f>Measurement!AJ29/Measurement!AJ27</f>
        <v>1.0621531631520533</v>
      </c>
      <c r="AM35" s="35">
        <f>Measurement!AK29/Measurement!AK27</f>
        <v>1.02</v>
      </c>
      <c r="AN35" s="35">
        <f>Measurement!AL29/Measurement!AL27</f>
        <v>1.0134436401240952</v>
      </c>
      <c r="AO35" s="35">
        <f>Measurement!AM29/Measurement!AM27</f>
        <v>1.1767741935483871</v>
      </c>
      <c r="AP35" s="35">
        <f>Measurement!AN29/Measurement!AN27</f>
        <v>1.1850899742930592</v>
      </c>
      <c r="AQ35" s="35">
        <f>Measurement!AO29/Measurement!AO27</f>
        <v>1.3873456790123457</v>
      </c>
      <c r="AR35" s="35">
        <f>Measurement!AP29/Measurement!AP27</f>
        <v>1.109907120743034</v>
      </c>
    </row>
    <row r="36" spans="1:44" s="21" customFormat="1" x14ac:dyDescent="0.3">
      <c r="A36" s="21">
        <v>5</v>
      </c>
      <c r="B36" s="22" t="s">
        <v>105</v>
      </c>
      <c r="E36" s="33"/>
      <c r="F36" s="33"/>
      <c r="G36" s="33"/>
      <c r="H36" s="33"/>
      <c r="I36" s="33"/>
      <c r="J36" s="33"/>
      <c r="K36" s="33"/>
      <c r="L36" s="33"/>
      <c r="M36" s="33"/>
      <c r="N36" s="33"/>
      <c r="O36" s="33"/>
      <c r="P36" s="33"/>
      <c r="Q36" s="33"/>
      <c r="R36" s="33"/>
      <c r="S36" s="33"/>
      <c r="T36" s="33"/>
      <c r="U36" s="33"/>
      <c r="V36" s="33"/>
      <c r="W36" s="33"/>
      <c r="X36" s="33"/>
      <c r="Y36" s="33"/>
      <c r="Z36" s="33"/>
      <c r="AA36" s="33"/>
      <c r="AB36" s="33"/>
      <c r="AC36" s="33"/>
      <c r="AD36" s="33"/>
      <c r="AE36" s="33"/>
      <c r="AF36" s="33"/>
    </row>
    <row r="37" spans="1:44" ht="38.25" customHeight="1" x14ac:dyDescent="0.3">
      <c r="B37" s="25" t="s">
        <v>106</v>
      </c>
      <c r="C37" s="24" t="s">
        <v>107</v>
      </c>
      <c r="E37" s="35">
        <f>Measurement!C33/Measurement!C34</f>
        <v>0.5</v>
      </c>
      <c r="F37" s="35">
        <f>Measurement!D33/Measurement!D34</f>
        <v>0.46296296296296297</v>
      </c>
      <c r="G37" s="35">
        <f>Measurement!E33/Measurement!E34</f>
        <v>0.49203821656050956</v>
      </c>
      <c r="H37" s="35">
        <f>Measurement!F33/Measurement!F34</f>
        <v>0.90909090909090906</v>
      </c>
      <c r="I37" s="35">
        <f>Measurement!G33/Measurement!G34</f>
        <v>0.87068965517241381</v>
      </c>
      <c r="J37" s="35">
        <f>Measurement!H33/Measurement!H34</f>
        <v>0.91176470588235292</v>
      </c>
      <c r="K37" s="35">
        <f>Measurement!I33/Measurement!I34</f>
        <v>0.84615384615384615</v>
      </c>
      <c r="L37" s="35">
        <f>Measurement!J33/Measurement!J34</f>
        <v>0.87272727272727268</v>
      </c>
      <c r="M37" s="35">
        <f>Measurement!K33/Measurement!K34</f>
        <v>0.76923076923076927</v>
      </c>
      <c r="N37" s="35">
        <f>Measurement!L33/Measurement!L34</f>
        <v>0.71590909090909094</v>
      </c>
      <c r="O37" s="35">
        <f>Measurement!M33/Measurement!M34</f>
        <v>0.6785714285714286</v>
      </c>
      <c r="P37" s="35">
        <f>Measurement!N33/Measurement!N34</f>
        <v>0.62790697674418605</v>
      </c>
      <c r="Q37" s="35">
        <f>Measurement!O33/Measurement!O34</f>
        <v>0.5</v>
      </c>
      <c r="R37" s="35">
        <f>Measurement!P33/Measurement!P34</f>
        <v>0.53968253968253965</v>
      </c>
      <c r="S37" s="35">
        <f>Measurement!Q33/Measurement!Q34</f>
        <v>0.39393939393939392</v>
      </c>
      <c r="T37" s="35">
        <f>Measurement!R33/Measurement!R34</f>
        <v>0.82499999999999996</v>
      </c>
      <c r="U37" s="35">
        <f>Measurement!S33/Measurement!S34</f>
        <v>0.79166666666666663</v>
      </c>
      <c r="V37" s="35">
        <f>Measurement!T33/Measurement!T34</f>
        <v>0.75714285714285712</v>
      </c>
      <c r="W37" s="35">
        <f>Measurement!U33/Measurement!U34</f>
        <v>0.61538461538461542</v>
      </c>
      <c r="X37" s="35">
        <f>Measurement!V33/Measurement!V34</f>
        <v>0.69565217391304346</v>
      </c>
      <c r="Y37" s="35">
        <f>Measurement!W33/Measurement!W34</f>
        <v>0.4838709677419355</v>
      </c>
      <c r="Z37" s="35">
        <f>Measurement!X33/Measurement!X34</f>
        <v>0.51948051948051943</v>
      </c>
      <c r="AA37" s="35">
        <f>Measurement!Y33/Measurement!Y34</f>
        <v>0.62365591397849462</v>
      </c>
      <c r="AB37" s="35">
        <f>Measurement!Z33/Measurement!Z34</f>
        <v>0.43076923076923079</v>
      </c>
      <c r="AC37" s="35">
        <f>Measurement!AA33/Measurement!AA34</f>
        <v>0.83750000000000002</v>
      </c>
      <c r="AD37" s="35">
        <f>Measurement!AB33/Measurement!AB34</f>
        <v>0.7192982456140351</v>
      </c>
      <c r="AE37" s="35">
        <f>Measurement!AC33/Measurement!AC34</f>
        <v>0.41379310344827586</v>
      </c>
      <c r="AF37" s="35">
        <f>Measurement!AD33/Measurement!AD34</f>
        <v>0.48148148148148145</v>
      </c>
      <c r="AG37" s="35">
        <f>Measurement!AE33/Measurement!AE34</f>
        <v>0.87096774193548387</v>
      </c>
      <c r="AH37" s="35">
        <f>Measurement!AF33/Measurement!AF34</f>
        <v>0.80232558139534882</v>
      </c>
      <c r="AI37" s="35"/>
      <c r="AJ37" s="35"/>
      <c r="AQ37" s="35"/>
      <c r="AR37" s="35"/>
    </row>
    <row r="38" spans="1:44" s="21" customFormat="1" x14ac:dyDescent="0.3">
      <c r="A38" s="21">
        <v>6</v>
      </c>
      <c r="B38" s="22" t="s">
        <v>108</v>
      </c>
      <c r="E38" s="33"/>
      <c r="F38" s="33"/>
      <c r="G38" s="33"/>
      <c r="H38" s="33"/>
      <c r="I38" s="33"/>
      <c r="J38" s="33"/>
      <c r="K38" s="33"/>
      <c r="L38" s="33"/>
      <c r="M38" s="33"/>
      <c r="N38" s="33"/>
      <c r="O38" s="33"/>
      <c r="P38" s="33"/>
      <c r="Q38" s="33"/>
      <c r="R38" s="33"/>
      <c r="S38" s="33"/>
      <c r="T38" s="33"/>
      <c r="U38" s="33"/>
      <c r="V38" s="33"/>
      <c r="W38" s="33"/>
      <c r="X38" s="33"/>
      <c r="Y38" s="33"/>
      <c r="Z38" s="33"/>
      <c r="AA38" s="33"/>
      <c r="AB38" s="33"/>
      <c r="AC38" s="33"/>
      <c r="AD38" s="33"/>
      <c r="AE38" s="33"/>
      <c r="AF38" s="33"/>
      <c r="AG38" s="33"/>
      <c r="AH38" s="33"/>
      <c r="AQ38" s="33"/>
      <c r="AR38" s="33"/>
    </row>
    <row r="39" spans="1:44" ht="30" customHeight="1" x14ac:dyDescent="0.3">
      <c r="B39" s="25" t="s">
        <v>109</v>
      </c>
      <c r="C39" s="24" t="s">
        <v>110</v>
      </c>
      <c r="E39" s="35">
        <f>Measurement!C35/Measurement!C36</f>
        <v>0.83274647887323938</v>
      </c>
      <c r="F39" s="35">
        <f>Measurement!D35/Measurement!D36</f>
        <v>1.399092970521542</v>
      </c>
      <c r="G39" s="35">
        <f>Measurement!E35/Measurement!E36</f>
        <v>0.8151408450704225</v>
      </c>
      <c r="H39" s="35">
        <f>Measurement!F35/Measurement!F36</f>
        <v>0.73570324574961365</v>
      </c>
      <c r="I39" s="35">
        <f>Measurement!G35/Measurement!G36</f>
        <v>0.74188562596599694</v>
      </c>
      <c r="J39" s="35">
        <f>Measurement!H35/Measurement!H36</f>
        <v>0.73570324574961365</v>
      </c>
      <c r="K39" s="35">
        <f>Measurement!I35/Measurement!I36</f>
        <v>0.66956521739130437</v>
      </c>
      <c r="L39" s="35">
        <f>Measurement!J35/Measurement!J36</f>
        <v>0.66427546628407463</v>
      </c>
      <c r="M39" s="35">
        <f>Measurement!K35/Measurement!K36</f>
        <v>0.67540029112081512</v>
      </c>
      <c r="N39" s="35">
        <f>Measurement!L35/Measurement!L36</f>
        <v>1.2922077922077921</v>
      </c>
      <c r="O39" s="35">
        <f>Measurement!M35/Measurement!M36</f>
        <v>0.77666666666666662</v>
      </c>
      <c r="P39" s="35">
        <f>Measurement!N35/Measurement!N36</f>
        <v>0.77721943048576214</v>
      </c>
      <c r="Q39" s="35">
        <f>Measurement!O35/Measurement!O36</f>
        <v>0.77157360406091369</v>
      </c>
      <c r="R39" s="35">
        <f>Measurement!P35/Measurement!P36</f>
        <v>0.82910321489001693</v>
      </c>
      <c r="S39" s="35">
        <f>Measurement!Q35/Measurement!Q36</f>
        <v>0.94230769230769229</v>
      </c>
      <c r="T39" s="35">
        <f>Measurement!R35/Measurement!R36</f>
        <v>0.7260504201680672</v>
      </c>
      <c r="U39" s="35">
        <f>Measurement!S35/Measurement!S36</f>
        <v>0.75966386554621845</v>
      </c>
      <c r="V39" s="35">
        <f>Measurement!T35/Measurement!T36</f>
        <v>0.73043478260869565</v>
      </c>
      <c r="W39" s="35">
        <f>Measurement!U35/Measurement!U36</f>
        <v>1.5607476635514019</v>
      </c>
      <c r="X39" s="35">
        <f>Measurement!V35/Measurement!V36</f>
        <v>0.80769230769230771</v>
      </c>
      <c r="Y39" s="35">
        <f>Measurement!W35/Measurement!W36</f>
        <v>0.78384798099762465</v>
      </c>
      <c r="Z39" s="35">
        <f>Measurement!X35/Measurement!X36</f>
        <v>0.81749049429657794</v>
      </c>
      <c r="AA39" s="35">
        <f>Measurement!Y35/Measurement!Y36</f>
        <v>0.80916030534351147</v>
      </c>
      <c r="AB39" s="35">
        <f>Measurement!Z35/Measurement!Z36</f>
        <v>0.80681818181818177</v>
      </c>
      <c r="AC39" s="35">
        <f>Measurement!AA35/Measurement!AA36</f>
        <v>0.71844660194174759</v>
      </c>
      <c r="AD39" s="35">
        <f>Measurement!AB35/Measurement!AB36</f>
        <v>0.73553719008264462</v>
      </c>
      <c r="AE39" s="35">
        <f>Measurement!AC35/Measurement!AC36</f>
        <v>0.84799999999999998</v>
      </c>
      <c r="AF39" s="35">
        <f>Measurement!AD35/Measurement!AD36</f>
        <v>0.86583184257602863</v>
      </c>
      <c r="AG39" s="35">
        <f>Measurement!AE35/Measurement!AE36</f>
        <v>0.79566982408660347</v>
      </c>
      <c r="AH39" s="35">
        <f>Measurement!AF35/Measurement!AF36</f>
        <v>0.86892488954344627</v>
      </c>
      <c r="AQ39" s="35"/>
      <c r="AR39" s="35"/>
    </row>
    <row r="40" spans="1:44" ht="30" customHeight="1" x14ac:dyDescent="0.3">
      <c r="B40" s="25" t="s">
        <v>111</v>
      </c>
      <c r="C40" s="24" t="s">
        <v>112</v>
      </c>
      <c r="E40" s="35">
        <f>Measurement!C37/Measurement!C38</f>
        <v>0.72010869565217395</v>
      </c>
      <c r="F40" s="35">
        <f>Measurement!D37/Measurement!D38</f>
        <v>0.71714285714285719</v>
      </c>
      <c r="G40" s="35">
        <f>Measurement!E37/Measurement!E38</f>
        <v>0.72750000000000004</v>
      </c>
      <c r="H40" s="35">
        <f>Measurement!F37/Measurement!F38</f>
        <v>0.77519379844961245</v>
      </c>
      <c r="I40" s="35">
        <f>Measurement!G37/Measurement!G38</f>
        <v>0.75379939209726443</v>
      </c>
      <c r="J40" s="35">
        <f>Measurement!H37/Measurement!H38</f>
        <v>0.77272727272727271</v>
      </c>
      <c r="K40" s="35">
        <f>Measurement!I37/Measurement!I38</f>
        <v>0.70833333333333337</v>
      </c>
      <c r="L40" s="35">
        <f>Measurement!J37/Measurement!J38</f>
        <v>0.70231213872832365</v>
      </c>
      <c r="M40" s="35">
        <f>Measurement!K37/Measurement!K38</f>
        <v>0.71287128712871284</v>
      </c>
      <c r="N40" s="35">
        <f>Measurement!L37/Measurement!L38</f>
        <v>0.79878048780487809</v>
      </c>
      <c r="O40" s="35">
        <f>Measurement!M37/Measurement!M38</f>
        <v>0.77027027027027029</v>
      </c>
      <c r="P40" s="35">
        <f>Measurement!N37/Measurement!N38</f>
        <v>0.83236994219653182</v>
      </c>
      <c r="Q40" s="35">
        <f>Measurement!O37/Measurement!O38</f>
        <v>1.3398294762484775</v>
      </c>
      <c r="R40" s="35">
        <f>Measurement!P37/Measurement!P38</f>
        <v>1.1824324324324325</v>
      </c>
      <c r="S40" s="35">
        <f>Measurement!Q37/Measurement!Q38</f>
        <v>1.25</v>
      </c>
      <c r="T40" s="35">
        <f>Measurement!R37/Measurement!R38</f>
        <v>0.98666666666666669</v>
      </c>
      <c r="U40" s="35">
        <f>Measurement!S37/Measurement!S38</f>
        <v>0.99310344827586206</v>
      </c>
      <c r="V40" s="35">
        <f>Measurement!T37/Measurement!T38</f>
        <v>0.71461716937354991</v>
      </c>
      <c r="W40" s="35">
        <f>Measurement!U37/Measurement!U38</f>
        <v>0.85882352941176465</v>
      </c>
      <c r="X40" s="35">
        <f>Measurement!V37/Measurement!V38</f>
        <v>0.64893617021276595</v>
      </c>
      <c r="Y40" s="35">
        <f>Measurement!W37/Measurement!W38</f>
        <v>0.62773722627737227</v>
      </c>
      <c r="Z40" s="35">
        <f>Measurement!X37/Measurement!X38</f>
        <v>0.95302013422818788</v>
      </c>
      <c r="AA40" s="35">
        <f>Measurement!Y37/Measurement!Y38</f>
        <v>0.71511627906976749</v>
      </c>
      <c r="AB40" s="35">
        <f>Measurement!Z37/Measurement!Z38</f>
        <v>0.74816625916870416</v>
      </c>
      <c r="AC40" s="35">
        <f>Measurement!AA37/Measurement!AA38</f>
        <v>0.72670807453416153</v>
      </c>
      <c r="AD40" s="35">
        <f>Measurement!AB37/Measurement!AB38</f>
        <v>0.71111111111111114</v>
      </c>
      <c r="AE40" s="35">
        <f>Measurement!AC37/Measurement!AC38</f>
        <v>1.0536130536130537</v>
      </c>
      <c r="AF40" s="35">
        <f>Measurement!AD37/Measurement!AD38</f>
        <v>0.98989898989898994</v>
      </c>
      <c r="AG40" s="35">
        <f>Measurement!AE37/Measurement!AE38</f>
        <v>0.81481481481481477</v>
      </c>
      <c r="AH40" s="35">
        <f>Measurement!AF37/Measurement!AF38</f>
        <v>0.9</v>
      </c>
      <c r="AQ40" s="35"/>
      <c r="AR40" s="35"/>
    </row>
    <row r="41" spans="1:44" ht="30" customHeight="1" x14ac:dyDescent="0.3">
      <c r="B41" s="25" t="s">
        <v>113</v>
      </c>
      <c r="C41" s="24" t="s">
        <v>114</v>
      </c>
      <c r="E41" s="35">
        <f t="shared" ref="E41:J41" si="11">E39/E40</f>
        <v>1.1564177517937815</v>
      </c>
      <c r="F41" s="35">
        <f t="shared" si="11"/>
        <v>1.9509264529184847</v>
      </c>
      <c r="G41" s="35">
        <f t="shared" si="11"/>
        <v>1.1204685155607181</v>
      </c>
      <c r="H41" s="35">
        <f t="shared" si="11"/>
        <v>0.94905718701700159</v>
      </c>
      <c r="I41" s="35">
        <f t="shared" si="11"/>
        <v>0.98419504412424597</v>
      </c>
      <c r="J41" s="35">
        <f t="shared" si="11"/>
        <v>0.95208655332302949</v>
      </c>
      <c r="K41" s="35">
        <f t="shared" ref="K41" si="12">K39/K40</f>
        <v>0.94526854219948842</v>
      </c>
      <c r="L41" s="35">
        <f t="shared" ref="L41" si="13">L39/L40</f>
        <v>0.94584078738390875</v>
      </c>
      <c r="M41" s="35">
        <f t="shared" ref="M41" si="14">M39/M40</f>
        <v>0.94743651948892127</v>
      </c>
      <c r="N41" s="35">
        <f t="shared" ref="N41" si="15">N39/N40</f>
        <v>1.6177257856647167</v>
      </c>
      <c r="O41" s="35">
        <f t="shared" ref="O41" si="16">O39/O40</f>
        <v>1.0083040935672514</v>
      </c>
      <c r="P41" s="35">
        <f t="shared" ref="P41:R41" si="17">P39/P40</f>
        <v>0.93374278801414479</v>
      </c>
      <c r="Q41" s="35">
        <f t="shared" si="17"/>
        <v>0.57587448084910009</v>
      </c>
      <c r="R41" s="35">
        <f t="shared" si="17"/>
        <v>0.7011844331641286</v>
      </c>
      <c r="S41" s="35">
        <f t="shared" ref="S41:AE41" si="18">S39/S40</f>
        <v>0.75384615384615383</v>
      </c>
      <c r="T41" s="35">
        <f t="shared" si="18"/>
        <v>0.73586191233250053</v>
      </c>
      <c r="U41" s="35">
        <f t="shared" si="18"/>
        <v>0.76493930905695606</v>
      </c>
      <c r="V41" s="35">
        <f t="shared" si="18"/>
        <v>1.0221343873517785</v>
      </c>
      <c r="W41" s="35">
        <f t="shared" si="18"/>
        <v>1.8173089233132764</v>
      </c>
      <c r="X41" s="35">
        <f t="shared" si="18"/>
        <v>1.244640605296343</v>
      </c>
      <c r="Y41" s="35">
        <f t="shared" si="18"/>
        <v>1.24868806275203</v>
      </c>
      <c r="Z41" s="35">
        <f t="shared" si="18"/>
        <v>0.85778932148021214</v>
      </c>
      <c r="AA41" s="35">
        <f t="shared" si="18"/>
        <v>1.1315087196673492</v>
      </c>
      <c r="AB41" s="35">
        <f t="shared" si="18"/>
        <v>1.0783942364824717</v>
      </c>
      <c r="AC41" s="35">
        <f t="shared" si="18"/>
        <v>0.98863164882582355</v>
      </c>
      <c r="AD41" s="35">
        <f t="shared" si="18"/>
        <v>1.0343491735537189</v>
      </c>
      <c r="AE41" s="35">
        <f t="shared" si="18"/>
        <v>0.80484955752212384</v>
      </c>
      <c r="AF41" s="35">
        <f t="shared" ref="AF41:AG41" si="19">AF39/AF40</f>
        <v>0.87466686137782479</v>
      </c>
      <c r="AG41" s="35">
        <f t="shared" si="19"/>
        <v>0.97650387501537705</v>
      </c>
      <c r="AH41" s="35">
        <f t="shared" ref="AH41" si="20">AH39/AH40</f>
        <v>0.96547209949271806</v>
      </c>
      <c r="AQ41" s="35"/>
      <c r="AR41" s="35"/>
    </row>
    <row r="42" spans="1:44" s="21" customFormat="1" x14ac:dyDescent="0.3">
      <c r="A42" s="21">
        <v>7</v>
      </c>
      <c r="B42" s="22" t="s">
        <v>115</v>
      </c>
      <c r="E42" s="33"/>
      <c r="F42" s="33"/>
      <c r="G42" s="33"/>
      <c r="H42" s="33"/>
      <c r="I42" s="33"/>
      <c r="J42" s="33"/>
    </row>
    <row r="43" spans="1:44" ht="151.5" customHeight="1" x14ac:dyDescent="0.3">
      <c r="B43" s="25" t="s">
        <v>116</v>
      </c>
      <c r="C43" s="24" t="s">
        <v>117</v>
      </c>
      <c r="E43" s="35">
        <f>Measurement!C43/Measurement!C44</f>
        <v>2.7499999999999996</v>
      </c>
      <c r="F43" s="35">
        <f>Measurement!D43/Measurement!D44</f>
        <v>2.2118320610687023</v>
      </c>
      <c r="G43" s="35">
        <f>Measurement!E43/Measurement!E44</f>
        <v>2.1660777385159009</v>
      </c>
      <c r="H43" s="35">
        <f>Measurement!F43/Measurement!F44</f>
        <v>0.98654708520179368</v>
      </c>
      <c r="I43" s="35">
        <f>Measurement!G43/Measurement!G44</f>
        <v>0.98666666666666669</v>
      </c>
      <c r="J43" s="35">
        <f>Measurement!H43/Measurement!H44</f>
        <v>0.97402597402597402</v>
      </c>
      <c r="K43" s="35">
        <f>Measurement!I43/Measurement!I44</f>
        <v>2.3642857142857143</v>
      </c>
      <c r="L43" s="35">
        <f>Measurement!J43/Measurement!J44</f>
        <v>1.8379160636758323</v>
      </c>
      <c r="M43" s="35">
        <f>Measurement!K43/Measurement!K44</f>
        <v>3.1232876712328772</v>
      </c>
      <c r="N43" s="35">
        <f>Measurement!L43/Measurement!L44</f>
        <v>1.9616087751371114</v>
      </c>
      <c r="O43" s="35">
        <f>Measurement!M43/Measurement!M44</f>
        <v>1.8253968253968256</v>
      </c>
      <c r="P43" s="35">
        <f>Measurement!N43/Measurement!N44</f>
        <v>2.2272727272727271</v>
      </c>
      <c r="Q43" s="35">
        <f>Measurement!O43/Measurement!O44</f>
        <v>1.3868725868725871</v>
      </c>
      <c r="R43" s="35">
        <f>Measurement!P43/Measurement!P44</f>
        <v>1.3713784021071114</v>
      </c>
      <c r="S43" s="35">
        <f>Measurement!Q43/Measurement!Q44</f>
        <v>1.2425828970331589</v>
      </c>
      <c r="T43" s="35">
        <f>Measurement!R43/Measurement!R44</f>
        <v>1.1141304347826089</v>
      </c>
      <c r="U43" s="35">
        <f>Measurement!S43/Measurement!S44</f>
        <v>1.0454545454545454</v>
      </c>
      <c r="V43" s="35">
        <f>Measurement!T43/Measurement!T44</f>
        <v>1.0909090909090908</v>
      </c>
      <c r="W43" s="35">
        <f>Measurement!U43/Measurement!U44</f>
        <v>2.0299727520435966</v>
      </c>
      <c r="X43" s="35">
        <f>Measurement!V43/Measurement!V44</f>
        <v>1.6653919694072659</v>
      </c>
      <c r="Y43" s="35">
        <f>Measurement!W43/Measurement!W44</f>
        <v>3.4847542003733665</v>
      </c>
      <c r="Z43" s="35">
        <f>Measurement!X43/Measurement!X44</f>
        <v>2.9296875</v>
      </c>
      <c r="AA43" s="35">
        <f>Measurement!Y43/Measurement!Y44</f>
        <v>1.98744769874477</v>
      </c>
      <c r="AB43" s="35">
        <f>Measurement!Z43/Measurement!Z44</f>
        <v>2.4505494505494507</v>
      </c>
      <c r="AC43" s="35">
        <f>Measurement!AA43/Measurement!AA44</f>
        <v>1.2441860465116277</v>
      </c>
      <c r="AD43" s="35">
        <f>Measurement!AB43/Measurement!AB44</f>
        <v>1.2014787430683918</v>
      </c>
      <c r="AE43" s="35">
        <f>Measurement!AC43/Measurement!AC44</f>
        <v>4.4477611940298507</v>
      </c>
      <c r="AF43" s="35">
        <f>Measurement!AD43/Measurement!AD44</f>
        <v>3.7039999999999997</v>
      </c>
      <c r="AG43" s="35">
        <f>Measurement!AE43/Measurement!AE44</f>
        <v>1.0107361963190185</v>
      </c>
      <c r="AH43" s="35">
        <f>Measurement!AF43/Measurement!AF44</f>
        <v>1.2330316742081446</v>
      </c>
      <c r="AI43" s="35"/>
    </row>
    <row r="44" spans="1:44" ht="144" customHeight="1" x14ac:dyDescent="0.3">
      <c r="B44" s="25" t="s">
        <v>118</v>
      </c>
      <c r="C44" s="24" t="s">
        <v>119</v>
      </c>
      <c r="E44" s="35">
        <f>Measurement!C45/Measurement!C6</f>
        <v>7.6179775280898879E-2</v>
      </c>
      <c r="F44" s="35">
        <f>Measurement!D45/Measurement!D6</f>
        <v>9.9158721256309604E-2</v>
      </c>
      <c r="G44" s="35">
        <f>Measurement!E45/Measurement!E6</f>
        <v>5.7528089887640452E-2</v>
      </c>
      <c r="H44" s="35">
        <f>Measurement!F45/Measurement!F6</f>
        <v>9.8876404494382023E-2</v>
      </c>
      <c r="I44" s="35">
        <f>Measurement!G45/Measurement!G6</f>
        <v>0.12485939257592801</v>
      </c>
      <c r="J44" s="35">
        <f>Measurement!H45/Measurement!H6</f>
        <v>7.6966292134831457E-2</v>
      </c>
      <c r="K44" s="35">
        <f>Measurement!I45/Measurement!I6</f>
        <v>8.574468085106382E-2</v>
      </c>
      <c r="L44" s="35">
        <f>Measurement!J45/Measurement!J6</f>
        <v>0.11776595744680851</v>
      </c>
      <c r="M44" s="35">
        <f>Measurement!K45/Measurement!K6</f>
        <v>4.6595744680851058E-2</v>
      </c>
      <c r="N44" s="35">
        <f>Measurement!L45/Measurement!L6</f>
        <v>9.9888765294771961E-2</v>
      </c>
      <c r="O44" s="35">
        <f>Measurement!M45/Measurement!M6</f>
        <v>0.11751662971175167</v>
      </c>
      <c r="P44" s="35">
        <f>Measurement!N45/Measurement!N6</f>
        <v>6.8965517241379309E-2</v>
      </c>
      <c r="Q44" s="35">
        <f>Measurement!O45/Measurement!O6</f>
        <v>0.2280564263322884</v>
      </c>
      <c r="R44" s="35">
        <f>Measurement!P45/Measurement!P6</f>
        <v>0.23765432098765432</v>
      </c>
      <c r="S44" s="35">
        <f>Measurement!Q45/Measurement!Q6</f>
        <v>9.6244784422809468E-2</v>
      </c>
      <c r="T44" s="35">
        <f>Measurement!R45/Measurement!R6</f>
        <v>8.7840909090909094E-2</v>
      </c>
      <c r="U44" s="35">
        <f>Measurement!S45/Measurement!S6</f>
        <v>9.6184062850729515E-2</v>
      </c>
      <c r="V44" s="35">
        <f>Measurement!T45/Measurement!T6</f>
        <v>7.4712643678160925E-2</v>
      </c>
      <c r="W44" s="35">
        <f>Measurement!U45/Measurement!U6</f>
        <v>0.15926829268292683</v>
      </c>
      <c r="X44" s="35">
        <f>Measurement!V45/Measurement!V6</f>
        <v>0.19343065693430658</v>
      </c>
      <c r="Y44" s="35">
        <f>Measurement!W45/Measurement!W6</f>
        <v>0.11658536585365853</v>
      </c>
      <c r="Z44" s="35">
        <f>Measurement!X45/Measurement!X6</f>
        <v>6.2738496071829408E-2</v>
      </c>
      <c r="AA44" s="35">
        <f>Measurement!Y45/Measurement!Y6</f>
        <v>8.2940516273849615E-2</v>
      </c>
      <c r="AB44" s="35">
        <f>Measurement!Z45/Measurement!Z6</f>
        <v>4.971941638608305E-2</v>
      </c>
      <c r="AC44" s="35">
        <f>Measurement!AA45/Measurement!AA6</f>
        <v>8.1884057971014487E-2</v>
      </c>
      <c r="AD44" s="35">
        <f>Measurement!AB45/Measurement!AB6</f>
        <v>5.6269430051813465E-2</v>
      </c>
      <c r="AE44" s="35">
        <f>Measurement!AC45/Measurement!AC6</f>
        <v>5.333333333333333E-2</v>
      </c>
      <c r="AF44" s="35">
        <f>Measurement!AD45/Measurement!AD6</f>
        <v>8.4404761904761913E-2</v>
      </c>
      <c r="AG44" s="35">
        <f>Measurement!AE45/Measurement!AE6</f>
        <v>7.7858002406738874E-2</v>
      </c>
      <c r="AH44" s="35">
        <f>Measurement!AF45/Measurement!AF6</f>
        <v>9.5873786407766989E-2</v>
      </c>
      <c r="AI44" s="35"/>
    </row>
    <row r="45" spans="1:44" ht="16.5" customHeight="1" x14ac:dyDescent="0.3">
      <c r="B45" s="25" t="s">
        <v>120</v>
      </c>
      <c r="C45" s="24" t="s">
        <v>121</v>
      </c>
      <c r="H45" s="35"/>
      <c r="I45" s="35"/>
      <c r="J45" s="35"/>
      <c r="K45" s="35"/>
      <c r="L45" s="35"/>
      <c r="M45" s="35"/>
      <c r="N45" s="35"/>
      <c r="O45" s="35"/>
      <c r="P45" s="35"/>
      <c r="Q45" s="35"/>
      <c r="R45" s="35"/>
      <c r="S45" s="35"/>
      <c r="T45" s="35"/>
      <c r="U45" s="35"/>
      <c r="V45" s="35"/>
      <c r="W45" s="35"/>
      <c r="X45" s="35"/>
      <c r="Y45" s="35"/>
      <c r="Z45" s="35"/>
      <c r="AA45" s="35"/>
      <c r="AB45" s="35"/>
      <c r="AC45" s="35"/>
      <c r="AD45" s="35"/>
      <c r="AE45" s="35"/>
      <c r="AF45" s="35"/>
    </row>
    <row r="46" spans="1:44" s="21" customFormat="1" x14ac:dyDescent="0.3">
      <c r="A46" s="21">
        <v>8</v>
      </c>
      <c r="B46" s="22" t="s">
        <v>122</v>
      </c>
      <c r="E46" s="33"/>
      <c r="F46" s="33"/>
      <c r="G46" s="33"/>
      <c r="H46" s="33"/>
      <c r="I46" s="33"/>
      <c r="J46" s="33"/>
      <c r="K46" s="33"/>
      <c r="L46" s="33"/>
      <c r="M46" s="33"/>
      <c r="N46" s="33"/>
      <c r="O46" s="33"/>
      <c r="P46" s="33"/>
      <c r="Q46" s="33"/>
      <c r="R46" s="33"/>
      <c r="S46" s="33"/>
      <c r="T46" s="33"/>
      <c r="U46" s="33"/>
      <c r="V46" s="33"/>
      <c r="W46" s="33"/>
      <c r="X46" s="33"/>
      <c r="Y46" s="33"/>
      <c r="Z46" s="33"/>
      <c r="AA46" s="33"/>
      <c r="AB46" s="33"/>
      <c r="AC46" s="33"/>
      <c r="AD46" s="33"/>
      <c r="AE46" s="33"/>
      <c r="AF46" s="33"/>
    </row>
    <row r="47" spans="1:44" ht="38.25" customHeight="1" x14ac:dyDescent="0.3">
      <c r="B47" s="25" t="s">
        <v>109</v>
      </c>
      <c r="C47" s="24" t="s">
        <v>110</v>
      </c>
      <c r="E47" s="35">
        <f t="shared" ref="E47:J47" si="21">E39</f>
        <v>0.83274647887323938</v>
      </c>
      <c r="F47" s="35">
        <f t="shared" si="21"/>
        <v>1.399092970521542</v>
      </c>
      <c r="G47" s="35">
        <f t="shared" si="21"/>
        <v>0.8151408450704225</v>
      </c>
      <c r="H47" s="35">
        <f t="shared" si="21"/>
        <v>0.73570324574961365</v>
      </c>
      <c r="I47" s="35">
        <f t="shared" si="21"/>
        <v>0.74188562596599694</v>
      </c>
      <c r="J47" s="35">
        <f t="shared" si="21"/>
        <v>0.73570324574961365</v>
      </c>
      <c r="K47" s="35">
        <f t="shared" ref="K47:P47" si="22">K39</f>
        <v>0.66956521739130437</v>
      </c>
      <c r="L47" s="35">
        <f t="shared" si="22"/>
        <v>0.66427546628407463</v>
      </c>
      <c r="M47" s="35">
        <f t="shared" si="22"/>
        <v>0.67540029112081512</v>
      </c>
      <c r="N47" s="35">
        <f t="shared" si="22"/>
        <v>1.2922077922077921</v>
      </c>
      <c r="O47" s="35">
        <f t="shared" si="22"/>
        <v>0.77666666666666662</v>
      </c>
      <c r="P47" s="35">
        <f t="shared" si="22"/>
        <v>0.77721943048576214</v>
      </c>
      <c r="Q47" s="35">
        <f t="shared" ref="Q47:AE47" si="23">Q39</f>
        <v>0.77157360406091369</v>
      </c>
      <c r="R47" s="35">
        <f t="shared" si="23"/>
        <v>0.82910321489001693</v>
      </c>
      <c r="S47" s="35">
        <f t="shared" si="23"/>
        <v>0.94230769230769229</v>
      </c>
      <c r="T47" s="35">
        <f t="shared" si="23"/>
        <v>0.7260504201680672</v>
      </c>
      <c r="U47" s="35">
        <f t="shared" si="23"/>
        <v>0.75966386554621845</v>
      </c>
      <c r="V47" s="35">
        <f t="shared" si="23"/>
        <v>0.73043478260869565</v>
      </c>
      <c r="W47" s="35">
        <f t="shared" si="23"/>
        <v>1.5607476635514019</v>
      </c>
      <c r="X47" s="35">
        <f t="shared" si="23"/>
        <v>0.80769230769230771</v>
      </c>
      <c r="Y47" s="35">
        <f t="shared" si="23"/>
        <v>0.78384798099762465</v>
      </c>
      <c r="Z47" s="35">
        <f t="shared" si="23"/>
        <v>0.81749049429657794</v>
      </c>
      <c r="AA47" s="35">
        <f t="shared" si="23"/>
        <v>0.80916030534351147</v>
      </c>
      <c r="AB47" s="35">
        <f t="shared" si="23"/>
        <v>0.80681818181818177</v>
      </c>
      <c r="AC47" s="35">
        <f t="shared" si="23"/>
        <v>0.71844660194174759</v>
      </c>
      <c r="AD47" s="35">
        <f t="shared" si="23"/>
        <v>0.73553719008264462</v>
      </c>
      <c r="AE47" s="35">
        <f t="shared" si="23"/>
        <v>0.84799999999999998</v>
      </c>
      <c r="AF47" s="35">
        <f t="shared" ref="AF47:AP47" si="24">AF39</f>
        <v>0.86583184257602863</v>
      </c>
      <c r="AG47" s="35">
        <f t="shared" si="24"/>
        <v>0.79566982408660347</v>
      </c>
      <c r="AH47" s="35">
        <f t="shared" ref="AH47:AI47" si="25">AH39</f>
        <v>0.86892488954344627</v>
      </c>
      <c r="AI47" s="35">
        <f t="shared" si="25"/>
        <v>0</v>
      </c>
      <c r="AJ47" s="35">
        <f t="shared" si="24"/>
        <v>0</v>
      </c>
      <c r="AK47" s="35">
        <f t="shared" si="24"/>
        <v>0</v>
      </c>
      <c r="AL47" s="35">
        <f t="shared" si="24"/>
        <v>0</v>
      </c>
      <c r="AM47" s="35">
        <f t="shared" si="24"/>
        <v>0</v>
      </c>
      <c r="AN47" s="35">
        <f t="shared" si="24"/>
        <v>0</v>
      </c>
      <c r="AO47" s="35">
        <f t="shared" si="24"/>
        <v>0</v>
      </c>
      <c r="AP47" s="35">
        <f t="shared" si="24"/>
        <v>0</v>
      </c>
    </row>
    <row r="48" spans="1:44" ht="30" customHeight="1" x14ac:dyDescent="0.3">
      <c r="B48" s="25" t="s">
        <v>123</v>
      </c>
      <c r="C48" s="24" t="s">
        <v>124</v>
      </c>
      <c r="H48" s="35"/>
      <c r="I48" s="35"/>
      <c r="J48" s="35"/>
      <c r="K48" s="35"/>
      <c r="L48" s="35"/>
      <c r="M48" s="35"/>
      <c r="N48" s="35"/>
      <c r="O48" s="35"/>
      <c r="P48" s="35"/>
      <c r="Q48" s="35"/>
      <c r="R48" s="35"/>
      <c r="S48" s="35"/>
      <c r="T48" s="35"/>
      <c r="U48" s="35"/>
      <c r="V48" s="35"/>
      <c r="W48" s="35"/>
      <c r="X48" s="35"/>
      <c r="Y48" s="35"/>
      <c r="Z48" s="35"/>
      <c r="AA48" s="35"/>
      <c r="AB48" s="35"/>
      <c r="AC48" s="35"/>
      <c r="AD48" s="35"/>
      <c r="AE48" s="35"/>
      <c r="AF48" s="35"/>
      <c r="AG48" s="35"/>
      <c r="AH48" s="35"/>
    </row>
    <row r="49" spans="1:42" s="21" customFormat="1" x14ac:dyDescent="0.3">
      <c r="A49" s="21">
        <v>9</v>
      </c>
      <c r="B49" s="22" t="s">
        <v>125</v>
      </c>
      <c r="E49" s="33"/>
      <c r="F49" s="33"/>
      <c r="G49" s="33"/>
      <c r="H49" s="33"/>
      <c r="I49" s="33"/>
      <c r="J49" s="33"/>
      <c r="K49" s="33"/>
      <c r="L49" s="33"/>
      <c r="M49" s="33"/>
      <c r="N49" s="33"/>
      <c r="O49" s="33"/>
      <c r="P49" s="33"/>
      <c r="Q49" s="33"/>
      <c r="R49" s="33"/>
      <c r="S49" s="33"/>
      <c r="T49" s="33"/>
      <c r="U49" s="33"/>
      <c r="V49" s="33"/>
      <c r="W49" s="33"/>
      <c r="X49" s="33"/>
      <c r="Y49" s="33"/>
      <c r="Z49" s="33"/>
      <c r="AA49" s="33"/>
      <c r="AB49" s="33"/>
      <c r="AC49" s="33"/>
      <c r="AD49" s="33"/>
      <c r="AE49" s="33"/>
      <c r="AF49" s="33"/>
      <c r="AG49" s="33"/>
      <c r="AH49" s="33"/>
    </row>
    <row r="50" spans="1:42" s="21" customFormat="1" x14ac:dyDescent="0.3">
      <c r="A50" s="21">
        <v>10</v>
      </c>
      <c r="B50" s="22" t="s">
        <v>126</v>
      </c>
      <c r="E50" s="33"/>
      <c r="F50" s="33"/>
      <c r="G50" s="33"/>
      <c r="H50" s="33"/>
      <c r="I50" s="33"/>
      <c r="J50" s="33"/>
      <c r="K50" s="33"/>
      <c r="L50" s="33"/>
      <c r="M50" s="33"/>
      <c r="N50" s="33"/>
      <c r="O50" s="33"/>
      <c r="P50" s="33"/>
      <c r="Q50" s="33"/>
      <c r="R50" s="33"/>
      <c r="S50" s="33"/>
      <c r="T50" s="33"/>
      <c r="U50" s="33"/>
      <c r="V50" s="33"/>
      <c r="W50" s="33"/>
      <c r="X50" s="33"/>
      <c r="Y50" s="33"/>
      <c r="Z50" s="33"/>
      <c r="AA50" s="33"/>
      <c r="AB50" s="33"/>
      <c r="AC50" s="33"/>
      <c r="AD50" s="33"/>
      <c r="AE50" s="33"/>
      <c r="AF50" s="33"/>
      <c r="AG50" s="33"/>
      <c r="AH50" s="33"/>
    </row>
    <row r="51" spans="1:42" ht="38.25" customHeight="1" x14ac:dyDescent="0.3">
      <c r="B51" s="25" t="s">
        <v>127</v>
      </c>
      <c r="C51" s="24" t="s">
        <v>128</v>
      </c>
      <c r="E51" s="35">
        <f>Measurement!C52/Measurement!C6</f>
        <v>0.98764044943820228</v>
      </c>
      <c r="F51" s="35">
        <f>Measurement!D52/Measurement!D6</f>
        <v>1.0005608524957936</v>
      </c>
      <c r="G51" s="35">
        <f>Measurement!E52/Measurement!E6</f>
        <v>0.9382022471910112</v>
      </c>
      <c r="H51" s="35">
        <f>Measurement!F52/Measurement!F6</f>
        <v>1.0011235955056179</v>
      </c>
      <c r="I51" s="35">
        <f>Measurement!G52/Measurement!G6</f>
        <v>0.9977502812148481</v>
      </c>
      <c r="J51" s="35">
        <f>Measurement!H52/Measurement!H6</f>
        <v>1.003370786516854</v>
      </c>
      <c r="K51" s="35">
        <f>Measurement!I52/Measurement!I6</f>
        <v>0.99787234042553197</v>
      </c>
      <c r="L51" s="35">
        <f>Measurement!J52/Measurement!J6</f>
        <v>0.99361702127659579</v>
      </c>
      <c r="M51" s="35">
        <f>Measurement!K52/Measurement!K6</f>
        <v>0.99361702127659579</v>
      </c>
      <c r="N51" s="35">
        <f>Measurement!L52/Measurement!L6</f>
        <v>0.97664071190211343</v>
      </c>
      <c r="O51" s="35">
        <f>Measurement!M52/Measurement!M6</f>
        <v>0.97339246119733924</v>
      </c>
      <c r="P51" s="35">
        <f>Measurement!N52/Measurement!N6</f>
        <v>0.97441601779755282</v>
      </c>
      <c r="Q51" s="35">
        <f>Measurement!O52/Measurement!O6</f>
        <v>1.297805642633229</v>
      </c>
      <c r="R51" s="35">
        <f>Measurement!P52/Measurement!P6</f>
        <v>1.3858024691358024</v>
      </c>
      <c r="S51" s="35">
        <f>Measurement!Q52/Measurement!Q6</f>
        <v>1.1515994436717663</v>
      </c>
      <c r="T51" s="35">
        <f>Measurement!R52/Measurement!R6</f>
        <v>0.99090909090909096</v>
      </c>
      <c r="U51" s="35">
        <f>Measurement!S52/Measurement!S6</f>
        <v>0.978675645342312</v>
      </c>
      <c r="V51" s="35">
        <f>Measurement!T52/Measurement!T6</f>
        <v>1.0022988505747126</v>
      </c>
      <c r="W51" s="35">
        <f>Measurement!U52/Measurement!U6</f>
        <v>1.6097560975609757</v>
      </c>
      <c r="X51" s="35">
        <f>Measurement!V52/Measurement!V6</f>
        <v>1.6058394160583942</v>
      </c>
      <c r="Y51" s="35">
        <f>Measurement!W52/Measurement!W6</f>
        <v>1.6097560975609757</v>
      </c>
      <c r="Z51" s="35">
        <f>Measurement!X52/Measurement!X6</f>
        <v>0.95061728395061729</v>
      </c>
      <c r="AA51" s="35">
        <f>Measurement!Y52/Measurement!Y6</f>
        <v>0.94612794612794615</v>
      </c>
      <c r="AB51" s="35">
        <f>Measurement!Z52/Measurement!Z6</f>
        <v>0.95061728395061729</v>
      </c>
      <c r="AC51" s="35">
        <f>Measurement!AA52/Measurement!AA6</f>
        <v>0.98033126293995865</v>
      </c>
      <c r="AD51" s="35">
        <f>Measurement!AB52/Measurement!AB6</f>
        <v>0.95647668393782381</v>
      </c>
      <c r="AE51" s="35">
        <f>Measurement!AC52/Measurement!AC6</f>
        <v>1.07816091954023</v>
      </c>
      <c r="AF51" s="35">
        <f>Measurement!AD52/Measurement!AD6</f>
        <v>1.1595238095238096</v>
      </c>
      <c r="AG51" s="35">
        <f>Measurement!AE52/Measurement!AE6</f>
        <v>1.0409145607701564</v>
      </c>
      <c r="AH51" s="35">
        <f>Measurement!AF52/Measurement!AF6</f>
        <v>1.0922330097087378</v>
      </c>
      <c r="AI51" s="35">
        <f>Measurement!AG52/Measurement!AG6</f>
        <v>0.93866374589266155</v>
      </c>
      <c r="AJ51" s="35">
        <f>Measurement!AH52/Measurement!AH6</f>
        <v>0.98596112311015116</v>
      </c>
      <c r="AK51" s="35">
        <f>Measurement!AI52/Measurement!AI6</f>
        <v>0.99132321041214755</v>
      </c>
      <c r="AL51" s="35">
        <f>Measurement!AJ52/Measurement!AJ6</f>
        <v>0.96587383660806614</v>
      </c>
      <c r="AM51" s="35">
        <f>Measurement!AK52/Measurement!AK6</f>
        <v>0.99070247933884292</v>
      </c>
      <c r="AN51" s="35">
        <f>Measurement!AL52/Measurement!AL6</f>
        <v>0.99077868852459017</v>
      </c>
      <c r="AO51" s="35">
        <f>Measurement!AM52/Measurement!AM6</f>
        <v>1.0055803571428572</v>
      </c>
      <c r="AP51" s="35">
        <f>Measurement!AN52/Measurement!AN6</f>
        <v>1</v>
      </c>
    </row>
    <row r="52" spans="1:42" ht="29.25" customHeight="1" x14ac:dyDescent="0.3">
      <c r="B52" s="25" t="s">
        <v>129</v>
      </c>
      <c r="C52" s="24" t="s">
        <v>130</v>
      </c>
      <c r="E52" s="35">
        <f>Measurement!C53/Measurement!C6</f>
        <v>0.9943820224719101</v>
      </c>
      <c r="F52" s="35">
        <f>Measurement!D53/Measurement!D6</f>
        <v>0.99831744251261922</v>
      </c>
      <c r="G52" s="35">
        <f>Measurement!E53/Measurement!E6</f>
        <v>0.95617977528089892</v>
      </c>
      <c r="H52" s="35">
        <f>Measurement!F53/Measurement!F6</f>
        <v>1</v>
      </c>
      <c r="I52" s="35">
        <f>Measurement!G53/Measurement!G6</f>
        <v>1.0022497187851518</v>
      </c>
      <c r="J52" s="35">
        <f>Measurement!H53/Measurement!H6</f>
        <v>1</v>
      </c>
      <c r="K52" s="35">
        <f>Measurement!I53/Measurement!I6</f>
        <v>1</v>
      </c>
      <c r="L52" s="35">
        <f>Measurement!J53/Measurement!J6</f>
        <v>1</v>
      </c>
      <c r="M52" s="35">
        <f>Measurement!K53/Measurement!K6</f>
        <v>1</v>
      </c>
      <c r="N52" s="35">
        <f>Measurement!L53/Measurement!L6</f>
        <v>1.003337041156841</v>
      </c>
      <c r="O52" s="35">
        <f>Measurement!M53/Measurement!M6</f>
        <v>1.001108647450111</v>
      </c>
      <c r="P52" s="35">
        <f>Measurement!N53/Measurement!N6</f>
        <v>1</v>
      </c>
      <c r="Q52" s="35">
        <f>Measurement!O53/Measurement!O6</f>
        <v>1.1865203761755485</v>
      </c>
      <c r="R52" s="35">
        <f>Measurement!P53/Measurement!P6</f>
        <v>1.0771604938271604</v>
      </c>
      <c r="S52" s="35">
        <f>Measurement!Q53/Measurement!Q6</f>
        <v>1.0458970792767732</v>
      </c>
      <c r="T52" s="35">
        <f>Measurement!R53/Measurement!R6</f>
        <v>1.0113636363636365</v>
      </c>
      <c r="U52" s="35">
        <f>Measurement!S53/Measurement!S6</f>
        <v>0.99887766554433222</v>
      </c>
      <c r="V52" s="35">
        <f>Measurement!T53/Measurement!T6</f>
        <v>1.0229885057471264</v>
      </c>
      <c r="W52" s="35">
        <f>Measurement!U53/Measurement!U6</f>
        <v>1.102439024390244</v>
      </c>
      <c r="X52" s="35">
        <f>Measurement!V53/Measurement!V6</f>
        <v>1.0097323600973236</v>
      </c>
      <c r="Y52" s="35">
        <f>Measurement!W53/Measurement!W6</f>
        <v>1.0024390243902439</v>
      </c>
      <c r="Z52" s="35">
        <f>Measurement!X53/Measurement!X6</f>
        <v>1</v>
      </c>
      <c r="AA52" s="35">
        <f>Measurement!Y53/Measurement!Y6</f>
        <v>0.99887766554433222</v>
      </c>
      <c r="AB52" s="35">
        <f>Measurement!Z53/Measurement!Z6</f>
        <v>0.99663299663299665</v>
      </c>
      <c r="AC52" s="35">
        <f>Measurement!AA53/Measurement!AA6</f>
        <v>0.99068322981366463</v>
      </c>
      <c r="AD52" s="35">
        <f>Measurement!AB53/Measurement!AB6</f>
        <v>0.97202072538860107</v>
      </c>
      <c r="AE52" s="35">
        <f>Measurement!AC53/Measurement!AC6</f>
        <v>1.0747126436781609</v>
      </c>
      <c r="AF52" s="35">
        <f>Measurement!AD53/Measurement!AD6</f>
        <v>1.1595238095238096</v>
      </c>
      <c r="AG52" s="35">
        <f>Measurement!AE53/Measurement!AE6</f>
        <v>1.0541516245487366</v>
      </c>
      <c r="AH52" s="35">
        <f>Measurement!AF53/Measurement!AF6</f>
        <v>1.0922330097087378</v>
      </c>
      <c r="AI52" s="35">
        <f>Measurement!AG53/Measurement!AG6</f>
        <v>1</v>
      </c>
      <c r="AJ52" s="35">
        <f>Measurement!AH53/Measurement!AH6</f>
        <v>1.0010799136069115</v>
      </c>
      <c r="AK52" s="35">
        <f>Measurement!AI53/Measurement!AI6</f>
        <v>1</v>
      </c>
      <c r="AL52" s="35">
        <f>Measurement!AJ53/Measurement!AJ6</f>
        <v>0.98138572905894517</v>
      </c>
      <c r="AM52" s="35">
        <f>Measurement!AK53/Measurement!AK6</f>
        <v>1</v>
      </c>
      <c r="AN52" s="35">
        <f>Measurement!AL53/Measurement!AL6</f>
        <v>1</v>
      </c>
      <c r="AO52" s="35">
        <f>Measurement!AM53/Measurement!AM6</f>
        <v>1</v>
      </c>
      <c r="AP52" s="35">
        <f>Measurement!AN53/Measurement!AN6</f>
        <v>0.99561883899233294</v>
      </c>
    </row>
    <row r="53" spans="1:42" x14ac:dyDescent="0.3">
      <c r="B53" s="25" t="s">
        <v>303</v>
      </c>
      <c r="H53" s="35">
        <f>Measurement!F54</f>
        <v>0</v>
      </c>
      <c r="I53" s="35">
        <f>Measurement!G54</f>
        <v>0</v>
      </c>
      <c r="J53" s="35">
        <f>Measurement!H54</f>
        <v>0</v>
      </c>
      <c r="Q53" s="35">
        <f>Measurement!O54</f>
        <v>0</v>
      </c>
      <c r="R53" s="35">
        <f>Measurement!P54</f>
        <v>0</v>
      </c>
      <c r="S53" s="35">
        <f>Measurement!Q54</f>
        <v>0</v>
      </c>
      <c r="T53" s="35"/>
      <c r="AG53" s="35">
        <f>Measurement!AE54</f>
        <v>10</v>
      </c>
      <c r="AH53" s="35">
        <f>Measurement!AF54</f>
        <v>10</v>
      </c>
    </row>
  </sheetData>
  <mergeCells count="1">
    <mergeCell ref="D11:D12"/>
  </mergeCells>
  <phoneticPr fontId="1" type="noConversion"/>
  <pageMargins left="0.7" right="0.7" top="0.75" bottom="0.75" header="0.3" footer="0.3"/>
  <pageSetup paperSize="9" orientation="landscape" horizontalDpi="4294967295" verticalDpi="4294967295"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Q61"/>
  <sheetViews>
    <sheetView zoomScale="75" zoomScaleNormal="75" workbookViewId="0">
      <pane ySplit="1" topLeftCell="A32" activePane="bottomLeft" state="frozen"/>
      <selection pane="bottomLeft" activeCell="D23" sqref="D23"/>
    </sheetView>
  </sheetViews>
  <sheetFormatPr defaultRowHeight="16.5" x14ac:dyDescent="0.3"/>
  <cols>
    <col min="1" max="1" width="3.5" style="30" bestFit="1" customWidth="1"/>
    <col min="2" max="2" width="16.25" customWidth="1"/>
    <col min="3" max="3" width="8.875" style="64" bestFit="1" customWidth="1"/>
    <col min="4" max="5" width="9.125" style="65" bestFit="1" customWidth="1"/>
    <col min="6" max="6" width="9.125" style="64" customWidth="1"/>
    <col min="7" max="8" width="9.125" style="65" customWidth="1"/>
    <col min="9" max="9" width="8.875" style="66" customWidth="1"/>
    <col min="10" max="11" width="8.875" style="67" customWidth="1"/>
    <col min="12" max="12" width="8.875" style="66" customWidth="1"/>
    <col min="13" max="14" width="8.875" style="67" customWidth="1"/>
    <col min="15" max="15" width="9.125" style="68" customWidth="1"/>
    <col min="16" max="16" width="7.625" style="67" customWidth="1"/>
    <col min="17" max="17" width="9.125" style="67" customWidth="1"/>
    <col min="18" max="18" width="9.125" style="68" customWidth="1"/>
    <col min="19" max="20" width="9.125" style="67" customWidth="1"/>
    <col min="21" max="21" width="9.125" style="66" customWidth="1"/>
    <col min="22" max="23" width="9.125" style="67" customWidth="1"/>
    <col min="24" max="24" width="9.125" style="66" customWidth="1"/>
    <col min="25" max="26" width="9.125" style="67" customWidth="1"/>
    <col min="27" max="27" width="9.125" style="66" customWidth="1"/>
    <col min="28" max="28" width="9.125" style="67" customWidth="1"/>
    <col min="29" max="29" width="9.125" style="66" customWidth="1"/>
    <col min="30" max="30" width="9.125" style="67" customWidth="1"/>
    <col min="31" max="31" width="9.125" style="66" customWidth="1"/>
    <col min="32" max="32" width="9.125" style="67" customWidth="1"/>
    <col min="33" max="33" width="9" style="148" customWidth="1"/>
    <col min="34" max="34" width="9" customWidth="1"/>
    <col min="35" max="35" width="9" style="148" customWidth="1"/>
    <col min="36" max="36" width="9" customWidth="1"/>
    <col min="37" max="37" width="9" style="148" customWidth="1"/>
    <col min="39" max="39" width="9" style="148"/>
  </cols>
  <sheetData>
    <row r="1" spans="1:43" ht="49.5" x14ac:dyDescent="0.3">
      <c r="C1" s="59" t="s">
        <v>310</v>
      </c>
      <c r="D1" s="60" t="s">
        <v>144</v>
      </c>
      <c r="E1" s="60" t="s">
        <v>145</v>
      </c>
      <c r="F1" s="59" t="s">
        <v>311</v>
      </c>
      <c r="G1" s="60" t="s">
        <v>146</v>
      </c>
      <c r="H1" s="60" t="s">
        <v>147</v>
      </c>
      <c r="I1" s="61" t="s">
        <v>312</v>
      </c>
      <c r="J1" s="62" t="s">
        <v>189</v>
      </c>
      <c r="K1" s="62" t="s">
        <v>190</v>
      </c>
      <c r="L1" s="61" t="s">
        <v>313</v>
      </c>
      <c r="M1" s="62" t="s">
        <v>197</v>
      </c>
      <c r="N1" s="62" t="s">
        <v>198</v>
      </c>
      <c r="O1" s="63" t="s">
        <v>316</v>
      </c>
      <c r="P1" s="62" t="s">
        <v>206</v>
      </c>
      <c r="Q1" s="62" t="s">
        <v>207</v>
      </c>
      <c r="R1" s="63" t="s">
        <v>314</v>
      </c>
      <c r="S1" s="62" t="s">
        <v>208</v>
      </c>
      <c r="T1" s="62" t="s">
        <v>209</v>
      </c>
      <c r="U1" s="61" t="s">
        <v>315</v>
      </c>
      <c r="V1" s="62" t="s">
        <v>210</v>
      </c>
      <c r="W1" s="62" t="s">
        <v>211</v>
      </c>
      <c r="X1" s="61" t="s">
        <v>357</v>
      </c>
      <c r="Y1" s="62" t="s">
        <v>212</v>
      </c>
      <c r="Z1" s="62" t="s">
        <v>213</v>
      </c>
      <c r="AA1" s="61" t="s">
        <v>470</v>
      </c>
      <c r="AB1" s="62" t="s">
        <v>214</v>
      </c>
      <c r="AC1" s="61" t="s">
        <v>215</v>
      </c>
      <c r="AD1" s="62" t="s">
        <v>216</v>
      </c>
      <c r="AE1" s="61" t="s">
        <v>484</v>
      </c>
      <c r="AF1" s="62" t="s">
        <v>246</v>
      </c>
      <c r="AG1" s="61" t="s">
        <v>485</v>
      </c>
      <c r="AH1" s="62" t="s">
        <v>486</v>
      </c>
      <c r="AI1" s="61" t="s">
        <v>487</v>
      </c>
      <c r="AJ1" s="62" t="s">
        <v>488</v>
      </c>
      <c r="AK1" s="61" t="s">
        <v>489</v>
      </c>
      <c r="AL1" s="62" t="s">
        <v>490</v>
      </c>
      <c r="AM1" s="61" t="s">
        <v>491</v>
      </c>
      <c r="AN1" s="62" t="s">
        <v>492</v>
      </c>
      <c r="AO1" s="61" t="s">
        <v>600</v>
      </c>
      <c r="AP1" s="62" t="s">
        <v>602</v>
      </c>
      <c r="AQ1" s="61"/>
    </row>
    <row r="2" spans="1:43" x14ac:dyDescent="0.3">
      <c r="A2" s="30">
        <v>2</v>
      </c>
      <c r="B2" t="s">
        <v>163</v>
      </c>
      <c r="C2" s="64">
        <v>202</v>
      </c>
      <c r="D2" s="65">
        <v>222</v>
      </c>
      <c r="E2" s="65">
        <v>176</v>
      </c>
      <c r="F2" s="64">
        <v>88</v>
      </c>
      <c r="G2" s="65">
        <v>117</v>
      </c>
      <c r="H2" s="65">
        <v>68</v>
      </c>
      <c r="I2" s="66">
        <v>160</v>
      </c>
      <c r="J2" s="65">
        <v>198</v>
      </c>
      <c r="K2" s="65">
        <v>136</v>
      </c>
      <c r="L2" s="64">
        <v>201</v>
      </c>
      <c r="M2" s="67">
        <f>535-334</f>
        <v>201</v>
      </c>
      <c r="N2" s="67">
        <f>535-334</f>
        <v>201</v>
      </c>
      <c r="O2" s="68">
        <v>130</v>
      </c>
      <c r="P2" s="67">
        <v>140</v>
      </c>
      <c r="Q2" s="67">
        <f>529-445</f>
        <v>84</v>
      </c>
      <c r="R2" s="68">
        <f>462-302</f>
        <v>160</v>
      </c>
      <c r="S2" s="67">
        <f>467-297</f>
        <v>170</v>
      </c>
      <c r="T2" s="67">
        <f>457-307</f>
        <v>150</v>
      </c>
      <c r="U2" s="66">
        <f>399-251</f>
        <v>148</v>
      </c>
      <c r="V2" s="67">
        <f>400-250</f>
        <v>150</v>
      </c>
      <c r="W2" s="67">
        <f>390-250</f>
        <v>140</v>
      </c>
      <c r="X2" s="66">
        <f>507-344</f>
        <v>163</v>
      </c>
      <c r="Y2" s="67">
        <f>507-344</f>
        <v>163</v>
      </c>
      <c r="Z2" s="67">
        <f>507-345</f>
        <v>162</v>
      </c>
      <c r="AA2" s="66">
        <f>501-355</f>
        <v>146</v>
      </c>
      <c r="AB2" s="67">
        <f>490-365</f>
        <v>125</v>
      </c>
      <c r="AC2" s="66">
        <f>502-349</f>
        <v>153</v>
      </c>
      <c r="AD2" s="67">
        <f>533-345</f>
        <v>188</v>
      </c>
      <c r="AE2" s="66">
        <f>491-418</f>
        <v>73</v>
      </c>
      <c r="AF2" s="67">
        <f>527-431</f>
        <v>96</v>
      </c>
      <c r="AG2" s="148">
        <f>491-401</f>
        <v>90</v>
      </c>
      <c r="AH2">
        <f>509-384</f>
        <v>125</v>
      </c>
      <c r="AI2" s="148">
        <f>504-435</f>
        <v>69</v>
      </c>
      <c r="AJ2">
        <f>528-411</f>
        <v>117</v>
      </c>
      <c r="AK2" s="148">
        <f>556-353</f>
        <v>203</v>
      </c>
      <c r="AL2">
        <f>569-341</f>
        <v>228</v>
      </c>
      <c r="AM2" s="148">
        <f>410-344</f>
        <v>66</v>
      </c>
      <c r="AN2">
        <f>466-377</f>
        <v>89</v>
      </c>
      <c r="AO2">
        <v>218</v>
      </c>
      <c r="AP2">
        <v>95</v>
      </c>
    </row>
    <row r="3" spans="1:43" x14ac:dyDescent="0.3">
      <c r="A3" s="30">
        <v>3</v>
      </c>
      <c r="B3" t="s">
        <v>161</v>
      </c>
      <c r="C3" s="64">
        <v>80</v>
      </c>
      <c r="D3" s="65">
        <v>112</v>
      </c>
      <c r="E3" s="65">
        <v>60</v>
      </c>
      <c r="F3" s="64">
        <v>88</v>
      </c>
      <c r="G3" s="65">
        <v>117</v>
      </c>
      <c r="H3" s="65">
        <v>68</v>
      </c>
      <c r="I3" s="66">
        <v>78</v>
      </c>
      <c r="J3" s="65">
        <v>111</v>
      </c>
      <c r="K3" s="65">
        <v>51</v>
      </c>
      <c r="L3" s="64">
        <v>86</v>
      </c>
      <c r="M3" s="67">
        <v>97</v>
      </c>
      <c r="N3" s="67">
        <v>79</v>
      </c>
      <c r="O3" s="69">
        <v>124</v>
      </c>
      <c r="P3" s="70">
        <f>533-403</f>
        <v>130</v>
      </c>
      <c r="Q3" s="67">
        <f>528-455</f>
        <v>73</v>
      </c>
      <c r="R3" s="68">
        <f>462-382</f>
        <v>80</v>
      </c>
      <c r="S3" s="67">
        <v>90</v>
      </c>
      <c r="T3" s="67">
        <v>70</v>
      </c>
      <c r="U3" s="66">
        <f>393-312</f>
        <v>81</v>
      </c>
      <c r="V3" s="67">
        <f>395-309</f>
        <v>86</v>
      </c>
      <c r="W3" s="67">
        <f>382-315</f>
        <v>67</v>
      </c>
      <c r="X3" s="66">
        <f>507-430</f>
        <v>77</v>
      </c>
      <c r="Y3" s="67">
        <f>507-424</f>
        <v>83</v>
      </c>
      <c r="Z3" s="67">
        <v>71</v>
      </c>
      <c r="AA3" s="66">
        <f>487-413</f>
        <v>74</v>
      </c>
      <c r="AB3" s="67">
        <f>474-426</f>
        <v>48</v>
      </c>
      <c r="AC3" s="66">
        <f>497-447</f>
        <v>50</v>
      </c>
      <c r="AD3" s="67">
        <f>528-440</f>
        <v>88</v>
      </c>
      <c r="AE3" s="66">
        <f>481-418</f>
        <v>63</v>
      </c>
      <c r="AF3" s="67">
        <f>517-431</f>
        <v>86</v>
      </c>
      <c r="AG3" s="148">
        <v>90</v>
      </c>
      <c r="AH3">
        <f>509-384</f>
        <v>125</v>
      </c>
      <c r="AI3" s="148">
        <f>504-435</f>
        <v>69</v>
      </c>
      <c r="AJ3">
        <f>528-411</f>
        <v>117</v>
      </c>
      <c r="AK3" s="148">
        <f>546-478</f>
        <v>68</v>
      </c>
      <c r="AL3">
        <f>560-464</f>
        <v>96</v>
      </c>
      <c r="AM3" s="148">
        <f>408-347</f>
        <v>61</v>
      </c>
      <c r="AN3">
        <f>466-379.5</f>
        <v>86.5</v>
      </c>
      <c r="AO3">
        <v>96</v>
      </c>
      <c r="AP3">
        <v>95</v>
      </c>
    </row>
    <row r="4" spans="1:43" x14ac:dyDescent="0.3">
      <c r="A4" s="30">
        <v>4</v>
      </c>
      <c r="B4" t="s">
        <v>24</v>
      </c>
      <c r="C4" s="64">
        <v>56</v>
      </c>
      <c r="D4" s="71">
        <v>68.5</v>
      </c>
      <c r="E4" s="71">
        <v>35</v>
      </c>
      <c r="F4" s="64">
        <v>0</v>
      </c>
      <c r="G4" s="65">
        <v>0</v>
      </c>
      <c r="H4" s="65">
        <v>0</v>
      </c>
      <c r="I4" s="66">
        <v>43</v>
      </c>
      <c r="J4" s="65">
        <v>69</v>
      </c>
      <c r="K4" s="65">
        <v>27</v>
      </c>
      <c r="L4" s="64">
        <v>54</v>
      </c>
      <c r="M4" s="67">
        <f>751-682</f>
        <v>69</v>
      </c>
      <c r="N4" s="67">
        <f>748-699</f>
        <v>49</v>
      </c>
      <c r="O4" s="68">
        <f>573-536</f>
        <v>37</v>
      </c>
      <c r="P4" s="67">
        <f>578-536</f>
        <v>42</v>
      </c>
      <c r="Q4" s="70">
        <f>690-616</f>
        <v>74</v>
      </c>
      <c r="R4" s="68">
        <f>740-682</f>
        <v>58</v>
      </c>
      <c r="S4" s="67">
        <f>745-677</f>
        <v>68</v>
      </c>
      <c r="T4" s="67">
        <f>735-687</f>
        <v>48</v>
      </c>
      <c r="U4" s="73">
        <f>508-467</f>
        <v>41</v>
      </c>
      <c r="V4" s="70">
        <f>509-449</f>
        <v>60</v>
      </c>
      <c r="W4" s="70">
        <f>508-468</f>
        <v>40</v>
      </c>
      <c r="X4" s="66">
        <f>746-695</f>
        <v>51</v>
      </c>
      <c r="Y4" s="67">
        <f>746-686</f>
        <v>60</v>
      </c>
      <c r="Z4" s="67">
        <f>746-702</f>
        <v>44</v>
      </c>
      <c r="AA4" s="66">
        <f>787-711</f>
        <v>76</v>
      </c>
      <c r="AB4" s="67">
        <f>787-729</f>
        <v>58</v>
      </c>
      <c r="AC4" s="66">
        <f>728-692</f>
        <v>36</v>
      </c>
      <c r="AD4" s="67">
        <f>721-659</f>
        <v>62</v>
      </c>
      <c r="AE4" s="66">
        <v>0</v>
      </c>
      <c r="AF4" s="67">
        <v>0</v>
      </c>
      <c r="AG4" s="148">
        <v>0</v>
      </c>
      <c r="AH4" s="67">
        <v>0</v>
      </c>
      <c r="AI4" s="66">
        <v>0</v>
      </c>
      <c r="AJ4">
        <v>0</v>
      </c>
      <c r="AK4" s="148">
        <f>848-785.5</f>
        <v>62.5</v>
      </c>
      <c r="AL4">
        <f>851-779</f>
        <v>72</v>
      </c>
      <c r="AM4" s="148">
        <v>0</v>
      </c>
      <c r="AN4">
        <v>0</v>
      </c>
      <c r="AO4" s="148">
        <v>110</v>
      </c>
      <c r="AP4">
        <v>0</v>
      </c>
    </row>
    <row r="5" spans="1:43" x14ac:dyDescent="0.3">
      <c r="A5" s="30">
        <v>5</v>
      </c>
      <c r="B5" t="s">
        <v>25</v>
      </c>
      <c r="C5" s="64">
        <v>108.5</v>
      </c>
      <c r="D5" s="65">
        <v>91.5</v>
      </c>
      <c r="E5" s="65">
        <v>101</v>
      </c>
      <c r="F5" s="64">
        <v>0</v>
      </c>
      <c r="G5" s="65">
        <v>0</v>
      </c>
      <c r="H5" s="65">
        <v>0</v>
      </c>
      <c r="I5" s="66">
        <v>92</v>
      </c>
      <c r="J5" s="65">
        <v>124</v>
      </c>
      <c r="K5" s="65">
        <v>73</v>
      </c>
      <c r="L5" s="64">
        <v>117</v>
      </c>
      <c r="M5" s="67">
        <f>751-626</f>
        <v>125</v>
      </c>
      <c r="N5" s="67">
        <f>748-634</f>
        <v>114</v>
      </c>
      <c r="O5" s="68">
        <f>573-505</f>
        <v>68</v>
      </c>
      <c r="P5" s="67">
        <f>578-501</f>
        <v>77</v>
      </c>
      <c r="Q5" s="70">
        <f>690-598</f>
        <v>92</v>
      </c>
      <c r="R5" s="69">
        <f>740-682</f>
        <v>58</v>
      </c>
      <c r="S5" s="70">
        <f>745-677</f>
        <v>68</v>
      </c>
      <c r="T5" s="70">
        <f>735-687</f>
        <v>48</v>
      </c>
      <c r="U5" s="66">
        <f>508-425</f>
        <v>83</v>
      </c>
      <c r="V5" s="67">
        <f>509-419</f>
        <v>90</v>
      </c>
      <c r="W5" s="67">
        <f>508-315</f>
        <v>193</v>
      </c>
      <c r="X5" s="66">
        <f>746-636</f>
        <v>110</v>
      </c>
      <c r="Y5" s="67">
        <f>746-629</f>
        <v>117</v>
      </c>
      <c r="Z5" s="67">
        <f>746-642</f>
        <v>104</v>
      </c>
      <c r="AA5" s="66">
        <f>787-661</f>
        <v>126</v>
      </c>
      <c r="AB5" s="67">
        <f>787-675</f>
        <v>112</v>
      </c>
      <c r="AC5" s="66">
        <f>728-657</f>
        <v>71</v>
      </c>
      <c r="AD5" s="67">
        <f>721-588</f>
        <v>133</v>
      </c>
      <c r="AE5" s="66">
        <v>0</v>
      </c>
      <c r="AF5" s="67">
        <v>0</v>
      </c>
      <c r="AG5" s="148">
        <v>0</v>
      </c>
      <c r="AH5" s="67">
        <v>0</v>
      </c>
      <c r="AI5" s="66">
        <v>0</v>
      </c>
      <c r="AJ5">
        <v>0</v>
      </c>
      <c r="AK5" s="148">
        <f>848-731</f>
        <v>117</v>
      </c>
      <c r="AL5">
        <f>851-729</f>
        <v>122</v>
      </c>
      <c r="AM5" s="148">
        <v>0</v>
      </c>
      <c r="AN5">
        <v>0</v>
      </c>
      <c r="AO5" s="148">
        <v>188</v>
      </c>
      <c r="AP5">
        <v>0</v>
      </c>
    </row>
    <row r="6" spans="1:43" x14ac:dyDescent="0.3">
      <c r="A6" s="30">
        <v>6</v>
      </c>
      <c r="B6" t="s">
        <v>26</v>
      </c>
      <c r="C6" s="64">
        <v>890</v>
      </c>
      <c r="D6" s="65">
        <v>891.5</v>
      </c>
      <c r="E6" s="65">
        <v>890</v>
      </c>
      <c r="F6" s="64">
        <v>890</v>
      </c>
      <c r="G6" s="65">
        <v>889</v>
      </c>
      <c r="H6" s="65">
        <v>890</v>
      </c>
      <c r="I6" s="66">
        <v>940</v>
      </c>
      <c r="J6" s="65">
        <v>940</v>
      </c>
      <c r="K6" s="65">
        <v>940</v>
      </c>
      <c r="L6" s="64">
        <v>899</v>
      </c>
      <c r="M6" s="67">
        <f>751+151</f>
        <v>902</v>
      </c>
      <c r="N6" s="67">
        <f>748+151</f>
        <v>899</v>
      </c>
      <c r="O6" s="68">
        <f>573+65</f>
        <v>638</v>
      </c>
      <c r="P6" s="67">
        <f>578+70</f>
        <v>648</v>
      </c>
      <c r="Q6" s="67">
        <f>690+29</f>
        <v>719</v>
      </c>
      <c r="R6" s="68">
        <f>740+140</f>
        <v>880</v>
      </c>
      <c r="S6" s="67">
        <f>746+145</f>
        <v>891</v>
      </c>
      <c r="T6" s="67">
        <f>735+135</f>
        <v>870</v>
      </c>
      <c r="U6" s="66">
        <f>508-98</f>
        <v>410</v>
      </c>
      <c r="V6" s="67">
        <f>509-98</f>
        <v>411</v>
      </c>
      <c r="W6" s="67">
        <f>508-98</f>
        <v>410</v>
      </c>
      <c r="X6" s="66">
        <f>746+145</f>
        <v>891</v>
      </c>
      <c r="Y6" s="67">
        <f>746+145</f>
        <v>891</v>
      </c>
      <c r="Z6" s="67">
        <f>746+145</f>
        <v>891</v>
      </c>
      <c r="AA6" s="66">
        <f>787+179</f>
        <v>966</v>
      </c>
      <c r="AB6" s="67">
        <f>787+178</f>
        <v>965</v>
      </c>
      <c r="AC6" s="66">
        <f>728+142</f>
        <v>870</v>
      </c>
      <c r="AD6" s="67">
        <f>721+119</f>
        <v>840</v>
      </c>
      <c r="AE6" s="66">
        <f>721+110</f>
        <v>831</v>
      </c>
      <c r="AF6" s="67">
        <f>712+112</f>
        <v>824</v>
      </c>
      <c r="AG6" s="148">
        <f>760+153</f>
        <v>913</v>
      </c>
      <c r="AH6">
        <f>766+160</f>
        <v>926</v>
      </c>
      <c r="AI6" s="148">
        <f>782+140</f>
        <v>922</v>
      </c>
      <c r="AJ6">
        <f>800+167</f>
        <v>967</v>
      </c>
      <c r="AK6" s="148">
        <f>848+120</f>
        <v>968</v>
      </c>
      <c r="AL6">
        <f>851+125</f>
        <v>976</v>
      </c>
      <c r="AM6" s="148">
        <f>768+128</f>
        <v>896</v>
      </c>
      <c r="AN6">
        <f>777+136</f>
        <v>913</v>
      </c>
      <c r="AO6">
        <v>721</v>
      </c>
      <c r="AP6">
        <v>278</v>
      </c>
    </row>
    <row r="7" spans="1:43" x14ac:dyDescent="0.3">
      <c r="A7" s="30">
        <v>7</v>
      </c>
      <c r="B7" t="s">
        <v>27</v>
      </c>
      <c r="C7" s="64">
        <v>27</v>
      </c>
      <c r="D7" s="65">
        <v>38</v>
      </c>
      <c r="E7" s="65">
        <v>19</v>
      </c>
      <c r="F7" s="64">
        <f t="shared" ref="F7:K7" si="0">F3/2</f>
        <v>44</v>
      </c>
      <c r="G7" s="64">
        <f t="shared" si="0"/>
        <v>58.5</v>
      </c>
      <c r="H7" s="64">
        <f t="shared" si="0"/>
        <v>34</v>
      </c>
      <c r="I7" s="64">
        <f t="shared" si="0"/>
        <v>39</v>
      </c>
      <c r="J7" s="64">
        <f t="shared" si="0"/>
        <v>55.5</v>
      </c>
      <c r="K7" s="64">
        <f t="shared" si="0"/>
        <v>25.5</v>
      </c>
      <c r="L7" s="72">
        <v>86</v>
      </c>
      <c r="M7" s="70">
        <v>97</v>
      </c>
      <c r="N7" s="70">
        <v>79</v>
      </c>
      <c r="O7" s="69">
        <f>422-385</f>
        <v>37</v>
      </c>
      <c r="P7" s="67">
        <f>422-393</f>
        <v>29</v>
      </c>
      <c r="Q7" s="67">
        <f>478-438</f>
        <v>40</v>
      </c>
      <c r="R7" s="68">
        <f>422-382</f>
        <v>40</v>
      </c>
      <c r="S7" s="67">
        <f>422-377</f>
        <v>45</v>
      </c>
      <c r="T7" s="67">
        <f>422-387</f>
        <v>35</v>
      </c>
      <c r="U7" s="66">
        <f>340-312</f>
        <v>28</v>
      </c>
      <c r="V7" s="67">
        <f>340-309</f>
        <v>31</v>
      </c>
      <c r="W7" s="67">
        <f>337-315</f>
        <v>22</v>
      </c>
      <c r="X7" s="66">
        <f>450-430</f>
        <v>20</v>
      </c>
      <c r="Y7" s="67">
        <f>450-424</f>
        <v>26</v>
      </c>
      <c r="Z7" s="67">
        <f>451-436</f>
        <v>15</v>
      </c>
      <c r="AA7" s="66">
        <f>428-395</f>
        <v>33</v>
      </c>
      <c r="AB7" s="67">
        <f>431-409</f>
        <v>22</v>
      </c>
      <c r="AC7" s="66">
        <f>462-447</f>
        <v>15</v>
      </c>
      <c r="AD7" s="67">
        <f>464-440</f>
        <v>24</v>
      </c>
      <c r="AE7" s="64">
        <f t="shared" ref="AE7:AJ7" si="1">AE3/2</f>
        <v>31.5</v>
      </c>
      <c r="AF7" s="74">
        <f t="shared" si="1"/>
        <v>43</v>
      </c>
      <c r="AG7" s="64">
        <f t="shared" si="1"/>
        <v>45</v>
      </c>
      <c r="AH7" s="74">
        <f t="shared" si="1"/>
        <v>62.5</v>
      </c>
      <c r="AI7" s="64">
        <f t="shared" si="1"/>
        <v>34.5</v>
      </c>
      <c r="AJ7" s="74">
        <f t="shared" si="1"/>
        <v>58.5</v>
      </c>
      <c r="AK7" s="148">
        <f>486-478</f>
        <v>8</v>
      </c>
      <c r="AL7" s="74">
        <f>473-464</f>
        <v>9</v>
      </c>
      <c r="AM7" s="148">
        <f>377-346</f>
        <v>31</v>
      </c>
      <c r="AN7">
        <f>423-378</f>
        <v>45</v>
      </c>
      <c r="AO7">
        <v>46</v>
      </c>
      <c r="AP7">
        <v>44</v>
      </c>
    </row>
    <row r="8" spans="1:43" x14ac:dyDescent="0.3">
      <c r="A8" s="30">
        <v>8</v>
      </c>
      <c r="B8" t="s">
        <v>28</v>
      </c>
      <c r="C8" s="64">
        <v>17</v>
      </c>
      <c r="D8" s="65">
        <v>28</v>
      </c>
      <c r="E8" s="65">
        <v>12</v>
      </c>
      <c r="F8" s="64">
        <v>0</v>
      </c>
      <c r="G8" s="65">
        <v>0</v>
      </c>
      <c r="H8" s="65">
        <v>0</v>
      </c>
      <c r="I8" s="73">
        <v>0</v>
      </c>
      <c r="J8" s="70">
        <v>0</v>
      </c>
      <c r="K8" s="70">
        <v>0</v>
      </c>
      <c r="L8" s="64">
        <f>355-334</f>
        <v>21</v>
      </c>
      <c r="M8" s="67">
        <f>357-334</f>
        <v>23</v>
      </c>
      <c r="N8" s="67">
        <f>355-334</f>
        <v>21</v>
      </c>
      <c r="O8" s="68">
        <f>409-399</f>
        <v>10</v>
      </c>
      <c r="P8" s="67">
        <f>403-394</f>
        <v>9</v>
      </c>
      <c r="Q8" s="67">
        <f>452-445</f>
        <v>7</v>
      </c>
      <c r="R8" s="68">
        <f>335-302</f>
        <v>33</v>
      </c>
      <c r="S8" s="67">
        <f>335-297</f>
        <v>38</v>
      </c>
      <c r="T8" s="67">
        <f>335-307</f>
        <v>28</v>
      </c>
      <c r="U8" s="73">
        <f>268-251</f>
        <v>17</v>
      </c>
      <c r="V8" s="70">
        <f>270-250</f>
        <v>20</v>
      </c>
      <c r="W8" s="70">
        <f>272-250</f>
        <v>22</v>
      </c>
      <c r="X8" s="66">
        <f>360-344</f>
        <v>16</v>
      </c>
      <c r="Y8" s="67">
        <f>369-344</f>
        <v>25</v>
      </c>
      <c r="Z8" s="67">
        <f>355-345</f>
        <v>10</v>
      </c>
      <c r="AA8" s="66">
        <f>380-355</f>
        <v>25</v>
      </c>
      <c r="AB8" s="67">
        <f>385-365</f>
        <v>20</v>
      </c>
      <c r="AC8" s="66">
        <f>360-349</f>
        <v>11</v>
      </c>
      <c r="AD8" s="67">
        <f>366-345</f>
        <v>21</v>
      </c>
      <c r="AE8" s="66">
        <v>0</v>
      </c>
      <c r="AF8" s="67">
        <v>0</v>
      </c>
      <c r="AG8" s="148">
        <v>0</v>
      </c>
      <c r="AH8" s="67">
        <v>0</v>
      </c>
      <c r="AI8" s="66">
        <v>0</v>
      </c>
      <c r="AJ8">
        <v>0</v>
      </c>
      <c r="AK8" s="148">
        <f>365-353</f>
        <v>12</v>
      </c>
      <c r="AL8">
        <f>358-341</f>
        <v>17</v>
      </c>
      <c r="AM8" s="148">
        <v>0</v>
      </c>
      <c r="AN8">
        <v>0</v>
      </c>
      <c r="AO8" s="148">
        <v>25</v>
      </c>
      <c r="AP8">
        <v>0</v>
      </c>
    </row>
    <row r="9" spans="1:43" x14ac:dyDescent="0.3">
      <c r="A9" s="30">
        <v>9</v>
      </c>
      <c r="B9" t="s">
        <v>164</v>
      </c>
      <c r="C9" s="64">
        <v>489</v>
      </c>
      <c r="D9" s="65">
        <v>453</v>
      </c>
      <c r="E9" s="65">
        <v>523</v>
      </c>
      <c r="F9" s="64">
        <v>844</v>
      </c>
      <c r="G9" s="65">
        <v>847</v>
      </c>
      <c r="H9" s="65">
        <v>844</v>
      </c>
      <c r="I9" s="66">
        <v>827</v>
      </c>
      <c r="J9" s="65">
        <v>827</v>
      </c>
      <c r="K9" s="65">
        <v>827</v>
      </c>
      <c r="L9" s="66">
        <v>652</v>
      </c>
      <c r="M9" s="70">
        <f>760-121</f>
        <v>639</v>
      </c>
      <c r="N9" s="67">
        <f>753-113</f>
        <v>640</v>
      </c>
      <c r="O9" s="68">
        <f>814-166</f>
        <v>648</v>
      </c>
      <c r="P9" s="67">
        <f>814-166</f>
        <v>648</v>
      </c>
      <c r="Q9" s="67">
        <f>769-210</f>
        <v>559</v>
      </c>
      <c r="R9" s="68">
        <f>771-78</f>
        <v>693</v>
      </c>
      <c r="S9" s="67">
        <f>771-78</f>
        <v>693</v>
      </c>
      <c r="T9" s="67">
        <f>771-78</f>
        <v>693</v>
      </c>
      <c r="U9" s="66">
        <f>370-238</f>
        <v>132</v>
      </c>
      <c r="V9" s="67">
        <v>277</v>
      </c>
      <c r="W9" s="67">
        <f>373-262</f>
        <v>111</v>
      </c>
      <c r="X9" s="66">
        <f>849-217</f>
        <v>632</v>
      </c>
      <c r="Y9" s="67">
        <f>840-225</f>
        <v>615</v>
      </c>
      <c r="Z9" s="67">
        <f>856-212</f>
        <v>644</v>
      </c>
      <c r="AA9" s="66">
        <f>645-278</f>
        <v>367</v>
      </c>
      <c r="AB9" s="67">
        <f>648-278</f>
        <v>370</v>
      </c>
      <c r="AC9" s="66">
        <f>740-250</f>
        <v>490</v>
      </c>
      <c r="AD9" s="67">
        <f>686-258</f>
        <v>428</v>
      </c>
      <c r="AE9" s="66">
        <f>869-32</f>
        <v>837</v>
      </c>
      <c r="AF9" s="67">
        <f>906-42</f>
        <v>864</v>
      </c>
      <c r="AG9" s="148">
        <f>871-21</f>
        <v>850</v>
      </c>
      <c r="AH9">
        <f>882-11</f>
        <v>871</v>
      </c>
      <c r="AI9" s="148">
        <f>890-49</f>
        <v>841</v>
      </c>
      <c r="AJ9">
        <f>919-19</f>
        <v>900</v>
      </c>
      <c r="AK9" s="148">
        <f>783-168</f>
        <v>615</v>
      </c>
      <c r="AL9">
        <f>777-212</f>
        <v>565</v>
      </c>
      <c r="AM9" s="148">
        <f>676-124</f>
        <v>552</v>
      </c>
      <c r="AN9">
        <f>659-131</f>
        <v>528</v>
      </c>
      <c r="AO9" s="148">
        <v>346</v>
      </c>
      <c r="AP9">
        <v>332</v>
      </c>
    </row>
    <row r="10" spans="1:43" x14ac:dyDescent="0.3">
      <c r="A10" s="30">
        <v>10</v>
      </c>
      <c r="B10" t="s">
        <v>165</v>
      </c>
      <c r="C10" s="64">
        <v>863</v>
      </c>
      <c r="D10" s="65">
        <v>866</v>
      </c>
      <c r="E10" s="65">
        <v>863</v>
      </c>
      <c r="F10" s="64">
        <v>844</v>
      </c>
      <c r="G10" s="65">
        <v>847</v>
      </c>
      <c r="H10" s="65">
        <v>844</v>
      </c>
      <c r="I10" s="66">
        <v>827</v>
      </c>
      <c r="J10" s="65">
        <v>827</v>
      </c>
      <c r="K10" s="65">
        <v>827</v>
      </c>
      <c r="L10" s="64">
        <v>852</v>
      </c>
      <c r="M10" s="67">
        <f>872-22</f>
        <v>850</v>
      </c>
      <c r="N10" s="67">
        <f>873-22</f>
        <v>851</v>
      </c>
      <c r="O10" s="68">
        <f>860-91</f>
        <v>769</v>
      </c>
      <c r="P10" s="67">
        <f>866-86</f>
        <v>780</v>
      </c>
      <c r="Q10" s="67">
        <f>871-117</f>
        <v>754</v>
      </c>
      <c r="R10" s="68">
        <f>806-44</f>
        <v>762</v>
      </c>
      <c r="S10" s="67">
        <f>811-39</f>
        <v>772</v>
      </c>
      <c r="T10" s="67">
        <f>801-49</f>
        <v>752</v>
      </c>
      <c r="U10" s="66">
        <f>537-125</f>
        <v>412</v>
      </c>
      <c r="V10" s="67">
        <f>547-127</f>
        <v>420</v>
      </c>
      <c r="W10" s="67">
        <f>536-126</f>
        <v>410</v>
      </c>
      <c r="X10" s="66">
        <f>881-16</f>
        <v>865</v>
      </c>
      <c r="Y10" s="67">
        <f>881-17</f>
        <v>864</v>
      </c>
      <c r="Z10" s="67">
        <f>881-19</f>
        <v>862</v>
      </c>
      <c r="AA10" s="66">
        <f>751-151</f>
        <v>600</v>
      </c>
      <c r="AB10" s="67">
        <f>737-167</f>
        <v>570</v>
      </c>
      <c r="AC10" s="66">
        <f>913-37</f>
        <v>876</v>
      </c>
      <c r="AD10" s="67">
        <f>918-38</f>
        <v>880</v>
      </c>
      <c r="AE10" s="66">
        <f>869-32</f>
        <v>837</v>
      </c>
      <c r="AF10" s="67">
        <f>906-42</f>
        <v>864</v>
      </c>
      <c r="AG10" s="148">
        <f>871-21</f>
        <v>850</v>
      </c>
      <c r="AH10">
        <f>882-11</f>
        <v>871</v>
      </c>
      <c r="AI10" s="148">
        <f>900-40</f>
        <v>860</v>
      </c>
      <c r="AJ10">
        <f>929-11</f>
        <v>918</v>
      </c>
      <c r="AK10" s="148">
        <f>950-28</f>
        <v>922</v>
      </c>
      <c r="AL10">
        <f>957-20</f>
        <v>937</v>
      </c>
      <c r="AM10" s="148">
        <f>761-42</f>
        <v>719</v>
      </c>
      <c r="AN10">
        <f>761-30</f>
        <v>731</v>
      </c>
      <c r="AO10" s="148">
        <v>568</v>
      </c>
      <c r="AP10">
        <v>332</v>
      </c>
    </row>
    <row r="11" spans="1:43" x14ac:dyDescent="0.3">
      <c r="A11" s="30">
        <v>11</v>
      </c>
    </row>
    <row r="12" spans="1:43" x14ac:dyDescent="0.3">
      <c r="A12" s="30">
        <v>12</v>
      </c>
      <c r="B12" t="s">
        <v>166</v>
      </c>
      <c r="C12" s="64">
        <v>98</v>
      </c>
      <c r="D12" s="71">
        <v>120</v>
      </c>
      <c r="E12" s="71">
        <v>102</v>
      </c>
      <c r="F12" s="64">
        <v>0</v>
      </c>
      <c r="G12" s="65">
        <v>0</v>
      </c>
      <c r="H12" s="65">
        <v>0</v>
      </c>
      <c r="I12" s="73">
        <v>0</v>
      </c>
      <c r="J12" s="70">
        <v>0</v>
      </c>
      <c r="K12" s="70">
        <v>0</v>
      </c>
      <c r="L12" s="66">
        <v>32.4</v>
      </c>
      <c r="M12" s="67">
        <v>22.9</v>
      </c>
      <c r="N12" s="67">
        <v>22.3</v>
      </c>
      <c r="O12" s="68">
        <v>47</v>
      </c>
      <c r="P12" s="67">
        <v>36</v>
      </c>
      <c r="Q12" s="70">
        <v>125</v>
      </c>
      <c r="R12" s="69">
        <v>0</v>
      </c>
      <c r="S12" s="70">
        <v>0</v>
      </c>
      <c r="T12" s="70">
        <v>0</v>
      </c>
      <c r="U12" s="147">
        <v>43.9</v>
      </c>
      <c r="V12" s="67">
        <v>35</v>
      </c>
      <c r="W12" s="67">
        <v>51</v>
      </c>
      <c r="X12" s="66">
        <v>67</v>
      </c>
      <c r="Y12" s="67">
        <v>60</v>
      </c>
      <c r="Z12" s="67">
        <v>66</v>
      </c>
      <c r="AA12" s="66">
        <v>45</v>
      </c>
      <c r="AB12" s="67">
        <v>59</v>
      </c>
      <c r="AC12" s="66">
        <v>48.4</v>
      </c>
      <c r="AD12" s="67">
        <v>66.599999999999994</v>
      </c>
      <c r="AE12" s="66">
        <v>0</v>
      </c>
      <c r="AF12" s="67">
        <v>0</v>
      </c>
      <c r="AG12" s="66">
        <v>0</v>
      </c>
      <c r="AH12" s="67">
        <v>0</v>
      </c>
      <c r="AI12" s="66">
        <v>0</v>
      </c>
      <c r="AJ12" s="67">
        <v>0</v>
      </c>
      <c r="AK12" s="148">
        <v>58.85</v>
      </c>
      <c r="AL12">
        <v>54.47</v>
      </c>
      <c r="AM12" s="148">
        <v>0</v>
      </c>
      <c r="AN12">
        <v>0</v>
      </c>
      <c r="AO12" s="148">
        <v>17</v>
      </c>
      <c r="AP12">
        <v>0</v>
      </c>
    </row>
    <row r="13" spans="1:43" x14ac:dyDescent="0.3">
      <c r="A13" s="30">
        <v>13</v>
      </c>
      <c r="B13" t="s">
        <v>30</v>
      </c>
      <c r="C13" s="64">
        <v>-9</v>
      </c>
      <c r="D13" s="65">
        <v>-8.1999999999999993</v>
      </c>
      <c r="E13" s="65">
        <v>-8.76</v>
      </c>
      <c r="F13" s="64">
        <v>0</v>
      </c>
      <c r="G13" s="65">
        <v>0</v>
      </c>
      <c r="H13" s="65">
        <v>0</v>
      </c>
      <c r="I13" s="73">
        <v>0</v>
      </c>
      <c r="J13" s="70">
        <v>0</v>
      </c>
      <c r="K13" s="70">
        <v>0</v>
      </c>
      <c r="L13" s="66">
        <v>-14</v>
      </c>
      <c r="M13" s="67">
        <v>-18.3</v>
      </c>
      <c r="N13" s="67">
        <v>-23.2</v>
      </c>
      <c r="O13" s="68">
        <v>-8.65</v>
      </c>
      <c r="P13" s="67">
        <v>-11</v>
      </c>
      <c r="Q13" s="67">
        <v>-13</v>
      </c>
      <c r="R13" s="68">
        <v>-44</v>
      </c>
      <c r="S13" s="67">
        <v>-49</v>
      </c>
      <c r="T13" s="67">
        <v>-39.4</v>
      </c>
      <c r="U13" s="66">
        <v>-10.4</v>
      </c>
      <c r="V13" s="67">
        <v>-12.7</v>
      </c>
      <c r="W13" s="67">
        <v>-4.9000000000000004</v>
      </c>
      <c r="X13" s="66">
        <v>-8.1999999999999993</v>
      </c>
      <c r="Y13" s="67">
        <v>-14</v>
      </c>
      <c r="Z13" s="67">
        <v>-8.5</v>
      </c>
      <c r="AA13" s="66">
        <v>-30</v>
      </c>
      <c r="AB13" s="67">
        <v>-16</v>
      </c>
      <c r="AC13" s="66">
        <v>-3.98</v>
      </c>
      <c r="AD13" s="67">
        <v>-5.8</v>
      </c>
      <c r="AE13" s="66">
        <v>0</v>
      </c>
      <c r="AF13" s="67">
        <v>0</v>
      </c>
      <c r="AG13" s="66">
        <v>0</v>
      </c>
      <c r="AH13" s="67">
        <v>0</v>
      </c>
      <c r="AI13" s="66">
        <v>0</v>
      </c>
      <c r="AJ13" s="67">
        <v>0</v>
      </c>
      <c r="AK13" s="148">
        <v>0</v>
      </c>
      <c r="AL13">
        <v>0</v>
      </c>
      <c r="AM13" s="148">
        <v>42.36</v>
      </c>
      <c r="AN13">
        <v>52.78</v>
      </c>
      <c r="AO13" s="148">
        <v>29</v>
      </c>
      <c r="AP13">
        <v>0</v>
      </c>
    </row>
    <row r="14" spans="1:43" x14ac:dyDescent="0.3">
      <c r="A14" s="30">
        <v>14</v>
      </c>
      <c r="B14" t="s">
        <v>29</v>
      </c>
      <c r="C14" s="64">
        <f t="shared" ref="C14:AD14" si="2">SUM(C12:C13)</f>
        <v>89</v>
      </c>
      <c r="D14" s="65">
        <f t="shared" si="2"/>
        <v>111.8</v>
      </c>
      <c r="E14" s="65">
        <f t="shared" si="2"/>
        <v>93.24</v>
      </c>
      <c r="F14" s="64">
        <f t="shared" si="2"/>
        <v>0</v>
      </c>
      <c r="G14" s="64">
        <f t="shared" si="2"/>
        <v>0</v>
      </c>
      <c r="H14" s="64">
        <f t="shared" si="2"/>
        <v>0</v>
      </c>
      <c r="I14" s="64">
        <f t="shared" si="2"/>
        <v>0</v>
      </c>
      <c r="J14" s="64">
        <f t="shared" si="2"/>
        <v>0</v>
      </c>
      <c r="K14" s="64">
        <f t="shared" si="2"/>
        <v>0</v>
      </c>
      <c r="L14" s="64">
        <f t="shared" si="2"/>
        <v>18.399999999999999</v>
      </c>
      <c r="M14" s="74">
        <f t="shared" si="2"/>
        <v>4.5999999999999979</v>
      </c>
      <c r="N14" s="74">
        <f t="shared" si="2"/>
        <v>-0.89999999999999858</v>
      </c>
      <c r="O14" s="75">
        <f t="shared" si="2"/>
        <v>38.35</v>
      </c>
      <c r="P14" s="74">
        <f t="shared" si="2"/>
        <v>25</v>
      </c>
      <c r="Q14" s="74">
        <f t="shared" si="2"/>
        <v>112</v>
      </c>
      <c r="R14" s="75">
        <f t="shared" si="2"/>
        <v>-44</v>
      </c>
      <c r="S14" s="74">
        <f t="shared" si="2"/>
        <v>-49</v>
      </c>
      <c r="T14" s="74">
        <f t="shared" si="2"/>
        <v>-39.4</v>
      </c>
      <c r="U14" s="64">
        <f t="shared" si="2"/>
        <v>33.5</v>
      </c>
      <c r="V14" s="74">
        <f t="shared" si="2"/>
        <v>22.3</v>
      </c>
      <c r="W14" s="74">
        <f t="shared" si="2"/>
        <v>46.1</v>
      </c>
      <c r="X14" s="64">
        <f t="shared" si="2"/>
        <v>58.8</v>
      </c>
      <c r="Y14" s="74">
        <f t="shared" si="2"/>
        <v>46</v>
      </c>
      <c r="Z14" s="74">
        <f t="shared" si="2"/>
        <v>57.5</v>
      </c>
      <c r="AA14" s="64">
        <f t="shared" si="2"/>
        <v>15</v>
      </c>
      <c r="AB14" s="74">
        <f t="shared" si="2"/>
        <v>43</v>
      </c>
      <c r="AC14" s="64">
        <f t="shared" si="2"/>
        <v>44.42</v>
      </c>
      <c r="AD14" s="74">
        <f t="shared" si="2"/>
        <v>60.8</v>
      </c>
      <c r="AE14" s="66">
        <v>0</v>
      </c>
      <c r="AF14" s="67">
        <v>0</v>
      </c>
      <c r="AG14" s="64">
        <f t="shared" ref="AG14" si="3">SUM(AG12:AG13)</f>
        <v>0</v>
      </c>
      <c r="AH14">
        <v>0</v>
      </c>
      <c r="AI14" s="64">
        <v>0</v>
      </c>
      <c r="AJ14" s="64">
        <v>0</v>
      </c>
      <c r="AK14" s="74">
        <f t="shared" ref="AK14:AO14" si="4">SUM(AK12:AK13)</f>
        <v>58.85</v>
      </c>
      <c r="AL14" s="74">
        <f t="shared" si="4"/>
        <v>54.47</v>
      </c>
      <c r="AM14" s="74">
        <f t="shared" si="4"/>
        <v>42.36</v>
      </c>
      <c r="AN14" s="74">
        <f t="shared" si="4"/>
        <v>52.78</v>
      </c>
      <c r="AO14" s="74">
        <f t="shared" si="4"/>
        <v>46</v>
      </c>
      <c r="AP14">
        <v>0</v>
      </c>
    </row>
    <row r="15" spans="1:43" x14ac:dyDescent="0.3">
      <c r="A15" s="30">
        <v>15</v>
      </c>
    </row>
    <row r="16" spans="1:43" x14ac:dyDescent="0.3">
      <c r="A16" s="30">
        <v>16</v>
      </c>
      <c r="B16" t="s">
        <v>167</v>
      </c>
      <c r="C16" s="64">
        <v>27</v>
      </c>
      <c r="D16" s="65">
        <v>20.5</v>
      </c>
      <c r="E16" s="60">
        <v>21</v>
      </c>
      <c r="F16" s="64">
        <v>0</v>
      </c>
      <c r="G16" s="65">
        <v>0</v>
      </c>
      <c r="H16" s="65">
        <v>0</v>
      </c>
      <c r="I16" s="66">
        <v>52</v>
      </c>
      <c r="J16" s="65">
        <v>61</v>
      </c>
      <c r="K16" s="65">
        <v>45</v>
      </c>
      <c r="L16" s="66">
        <v>16</v>
      </c>
      <c r="M16" s="67">
        <f>751-729</f>
        <v>22</v>
      </c>
      <c r="N16" s="67">
        <f>748-729</f>
        <v>19</v>
      </c>
      <c r="O16" s="69">
        <v>0</v>
      </c>
      <c r="P16" s="70">
        <v>0</v>
      </c>
      <c r="Q16" s="70">
        <v>0</v>
      </c>
      <c r="R16" s="76">
        <f>740-736</f>
        <v>4</v>
      </c>
      <c r="S16" s="67">
        <f>745-741</f>
        <v>4</v>
      </c>
      <c r="T16" s="67">
        <f>735-731</f>
        <v>4</v>
      </c>
      <c r="U16" s="66">
        <f>508-493</f>
        <v>15</v>
      </c>
      <c r="V16" s="67">
        <f>509-493</f>
        <v>16</v>
      </c>
      <c r="W16" s="67">
        <f>508-493</f>
        <v>15</v>
      </c>
      <c r="X16" s="66">
        <f>746-723</f>
        <v>23</v>
      </c>
      <c r="Y16" s="67">
        <f>746-723</f>
        <v>23</v>
      </c>
      <c r="Z16" s="67">
        <f>746-725</f>
        <v>21</v>
      </c>
      <c r="AA16" s="66">
        <f>787-723</f>
        <v>64</v>
      </c>
      <c r="AB16" s="67">
        <f>787-736</f>
        <v>51</v>
      </c>
      <c r="AC16" s="66">
        <f>728-709</f>
        <v>19</v>
      </c>
      <c r="AD16" s="67">
        <f>721-688</f>
        <v>33</v>
      </c>
      <c r="AE16" s="66">
        <f>721-718</f>
        <v>3</v>
      </c>
      <c r="AF16" s="67">
        <f>712-710</f>
        <v>2</v>
      </c>
      <c r="AG16" s="148">
        <v>0</v>
      </c>
      <c r="AH16">
        <v>0</v>
      </c>
      <c r="AI16" s="148">
        <f>782-768</f>
        <v>14</v>
      </c>
      <c r="AJ16">
        <f>800-787</f>
        <v>13</v>
      </c>
      <c r="AK16" s="148">
        <f>848-815</f>
        <v>33</v>
      </c>
      <c r="AL16">
        <f>851-815</f>
        <v>36</v>
      </c>
      <c r="AM16" s="148">
        <f>768-738</f>
        <v>30</v>
      </c>
      <c r="AN16">
        <f>776-736</f>
        <v>40</v>
      </c>
      <c r="AO16">
        <v>0</v>
      </c>
      <c r="AP16">
        <v>0</v>
      </c>
    </row>
    <row r="17" spans="1:42" x14ac:dyDescent="0.3">
      <c r="A17" s="30">
        <v>17</v>
      </c>
      <c r="B17" t="s">
        <v>181</v>
      </c>
      <c r="C17" s="64">
        <v>180</v>
      </c>
      <c r="D17" s="65">
        <v>209</v>
      </c>
      <c r="E17" s="65">
        <v>167</v>
      </c>
      <c r="F17" s="64">
        <v>0</v>
      </c>
      <c r="G17" s="65">
        <v>0</v>
      </c>
      <c r="H17" s="65">
        <v>0</v>
      </c>
      <c r="I17" s="73">
        <v>0</v>
      </c>
      <c r="J17" s="70">
        <v>0</v>
      </c>
      <c r="K17" s="70">
        <v>0</v>
      </c>
      <c r="L17" s="66">
        <f>97-22</f>
        <v>75</v>
      </c>
      <c r="M17" s="67">
        <f>97-22</f>
        <v>75</v>
      </c>
      <c r="N17" s="67">
        <f>113-22</f>
        <v>91</v>
      </c>
      <c r="O17" s="68">
        <f>166-91</f>
        <v>75</v>
      </c>
      <c r="P17" s="67">
        <f>166-86</f>
        <v>80</v>
      </c>
      <c r="Q17" s="67">
        <f>210-117</f>
        <v>93</v>
      </c>
      <c r="R17" s="68">
        <f>78-44</f>
        <v>34</v>
      </c>
      <c r="S17" s="67">
        <f>78-39</f>
        <v>39</v>
      </c>
      <c r="T17" s="67">
        <f>78-49</f>
        <v>29</v>
      </c>
      <c r="U17" s="66">
        <f>238-125</f>
        <v>113</v>
      </c>
      <c r="V17" s="67">
        <f>277-127</f>
        <v>150</v>
      </c>
      <c r="W17" s="67">
        <f>262-126</f>
        <v>136</v>
      </c>
      <c r="X17" s="66">
        <f>217-16</f>
        <v>201</v>
      </c>
      <c r="Y17" s="67">
        <f>225-17</f>
        <v>208</v>
      </c>
      <c r="Z17" s="67">
        <f>212-19</f>
        <v>193</v>
      </c>
      <c r="AA17" s="66">
        <f>278-151</f>
        <v>127</v>
      </c>
      <c r="AB17" s="67">
        <f>278-167</f>
        <v>111</v>
      </c>
      <c r="AC17" s="66">
        <f>250-37</f>
        <v>213</v>
      </c>
      <c r="AD17" s="67">
        <f>258-38</f>
        <v>220</v>
      </c>
      <c r="AE17" s="66">
        <v>0</v>
      </c>
      <c r="AF17" s="67">
        <v>0</v>
      </c>
      <c r="AG17" s="64">
        <v>0</v>
      </c>
      <c r="AH17" s="74">
        <v>0</v>
      </c>
      <c r="AI17" s="148">
        <f>49-40</f>
        <v>9</v>
      </c>
      <c r="AJ17">
        <f>19-11</f>
        <v>8</v>
      </c>
      <c r="AK17" s="148">
        <f>168-28</f>
        <v>140</v>
      </c>
      <c r="AL17">
        <f>212-20</f>
        <v>192</v>
      </c>
      <c r="AM17" s="148">
        <f>124-42</f>
        <v>82</v>
      </c>
      <c r="AN17">
        <f>131-30</f>
        <v>101</v>
      </c>
      <c r="AO17">
        <v>127</v>
      </c>
      <c r="AP17">
        <v>0</v>
      </c>
    </row>
    <row r="18" spans="1:42" x14ac:dyDescent="0.3">
      <c r="A18" s="30">
        <v>18</v>
      </c>
      <c r="B18" t="s">
        <v>134</v>
      </c>
      <c r="C18" s="64">
        <v>194</v>
      </c>
      <c r="D18" s="65">
        <v>204</v>
      </c>
      <c r="E18" s="65">
        <v>173</v>
      </c>
      <c r="F18" s="64">
        <v>0</v>
      </c>
      <c r="G18" s="65">
        <v>0</v>
      </c>
      <c r="H18" s="65">
        <v>0</v>
      </c>
      <c r="I18" s="73">
        <v>0</v>
      </c>
      <c r="J18" s="70">
        <v>0</v>
      </c>
      <c r="K18" s="70">
        <v>0</v>
      </c>
      <c r="L18" s="66">
        <f>874-749</f>
        <v>125</v>
      </c>
      <c r="M18" s="67">
        <f>873-760</f>
        <v>113</v>
      </c>
      <c r="N18" s="67">
        <f>873-753</f>
        <v>120</v>
      </c>
      <c r="O18" s="68">
        <f>860-814</f>
        <v>46</v>
      </c>
      <c r="P18" s="67">
        <f>866-814</f>
        <v>52</v>
      </c>
      <c r="Q18" s="67">
        <f>871-769</f>
        <v>102</v>
      </c>
      <c r="R18" s="68">
        <f>806-771</f>
        <v>35</v>
      </c>
      <c r="S18" s="67">
        <f>811-771</f>
        <v>40</v>
      </c>
      <c r="T18" s="67">
        <f>801-771</f>
        <v>30</v>
      </c>
      <c r="U18" s="66">
        <f>537-370</f>
        <v>167</v>
      </c>
      <c r="V18" s="67">
        <f>547-378</f>
        <v>169</v>
      </c>
      <c r="W18" s="67">
        <f>536-373</f>
        <v>163</v>
      </c>
      <c r="X18" s="66">
        <f>881-849</f>
        <v>32</v>
      </c>
      <c r="Y18" s="67">
        <f>881-840</f>
        <v>41</v>
      </c>
      <c r="Z18" s="67">
        <f>881-856</f>
        <v>25</v>
      </c>
      <c r="AA18" s="66">
        <f>751-645</f>
        <v>106</v>
      </c>
      <c r="AB18" s="67">
        <f>737-648</f>
        <v>89</v>
      </c>
      <c r="AC18" s="66">
        <f>913-740</f>
        <v>173</v>
      </c>
      <c r="AD18" s="67">
        <f>918-686</f>
        <v>232</v>
      </c>
      <c r="AE18" s="66">
        <v>0</v>
      </c>
      <c r="AF18" s="67">
        <v>0</v>
      </c>
      <c r="AG18" s="64">
        <v>0</v>
      </c>
      <c r="AH18" s="74">
        <v>0</v>
      </c>
      <c r="AI18" s="148">
        <f>900-890</f>
        <v>10</v>
      </c>
      <c r="AJ18">
        <f>929-919</f>
        <v>10</v>
      </c>
      <c r="AK18" s="148">
        <f>950-783</f>
        <v>167</v>
      </c>
      <c r="AL18">
        <f>957-777</f>
        <v>180</v>
      </c>
      <c r="AM18" s="148">
        <f>761-676</f>
        <v>85</v>
      </c>
      <c r="AN18">
        <f>761-659</f>
        <v>102</v>
      </c>
      <c r="AO18">
        <v>115</v>
      </c>
      <c r="AP18">
        <v>0</v>
      </c>
    </row>
    <row r="19" spans="1:42" x14ac:dyDescent="0.3">
      <c r="A19" s="30">
        <v>19</v>
      </c>
      <c r="B19" t="s">
        <v>168</v>
      </c>
      <c r="C19" s="64">
        <v>37</v>
      </c>
      <c r="D19" s="71">
        <v>30</v>
      </c>
      <c r="E19" s="77">
        <v>21</v>
      </c>
      <c r="F19" s="64">
        <v>0</v>
      </c>
      <c r="G19" s="65">
        <v>0</v>
      </c>
      <c r="H19" s="65">
        <v>0</v>
      </c>
      <c r="I19" s="66">
        <v>82</v>
      </c>
      <c r="J19" s="65">
        <v>87</v>
      </c>
      <c r="K19" s="65">
        <v>85</v>
      </c>
      <c r="L19" s="66">
        <f>427-389</f>
        <v>38</v>
      </c>
      <c r="M19" s="67">
        <f>417-383</f>
        <v>34</v>
      </c>
      <c r="N19" s="67">
        <f>433-393</f>
        <v>40</v>
      </c>
      <c r="O19" s="68">
        <f>408-406</f>
        <v>2</v>
      </c>
      <c r="P19" s="67">
        <f>403-399</f>
        <v>4</v>
      </c>
      <c r="Q19" s="67">
        <f>403-400</f>
        <v>3</v>
      </c>
      <c r="R19" s="68">
        <f>382-335</f>
        <v>47</v>
      </c>
      <c r="S19" s="67">
        <f>377-335</f>
        <v>42</v>
      </c>
      <c r="T19" s="67">
        <f>387-335</f>
        <v>52</v>
      </c>
      <c r="U19" s="73">
        <f>312-298</f>
        <v>14</v>
      </c>
      <c r="V19" s="70">
        <f>292-285</f>
        <v>7</v>
      </c>
      <c r="W19" s="70">
        <f>315-301</f>
        <v>14</v>
      </c>
      <c r="X19" s="66">
        <f>430-403</f>
        <v>27</v>
      </c>
      <c r="Y19" s="67">
        <f>424-396</f>
        <v>28</v>
      </c>
      <c r="Z19" s="67">
        <f>436-407</f>
        <v>29</v>
      </c>
      <c r="AA19" s="66">
        <f>409-385</f>
        <v>24</v>
      </c>
      <c r="AB19" s="67">
        <f>420-406</f>
        <v>14</v>
      </c>
      <c r="AC19" s="66">
        <f>447-409</f>
        <v>38</v>
      </c>
      <c r="AD19" s="67">
        <f>440-410</f>
        <v>30</v>
      </c>
      <c r="AE19" s="66">
        <v>0</v>
      </c>
      <c r="AF19" s="67">
        <v>0</v>
      </c>
      <c r="AG19" s="64">
        <v>0</v>
      </c>
      <c r="AH19" s="74">
        <v>0</v>
      </c>
      <c r="AI19" s="64">
        <v>0</v>
      </c>
      <c r="AJ19" s="74">
        <v>0</v>
      </c>
      <c r="AK19" s="148">
        <f>478-447.5</f>
        <v>30.5</v>
      </c>
      <c r="AL19">
        <f>464-435.5</f>
        <v>28.5</v>
      </c>
      <c r="AM19" s="148">
        <v>0</v>
      </c>
      <c r="AN19" s="148">
        <v>0</v>
      </c>
      <c r="AO19" s="148">
        <v>47</v>
      </c>
      <c r="AP19">
        <v>0</v>
      </c>
    </row>
    <row r="20" spans="1:42" x14ac:dyDescent="0.3">
      <c r="A20" s="30">
        <v>20</v>
      </c>
      <c r="G20" s="60"/>
    </row>
    <row r="21" spans="1:42" x14ac:dyDescent="0.3">
      <c r="A21" s="30">
        <v>21</v>
      </c>
      <c r="B21" t="s">
        <v>169</v>
      </c>
      <c r="C21" s="64">
        <v>23</v>
      </c>
      <c r="D21" s="71">
        <v>20</v>
      </c>
      <c r="E21" s="71">
        <v>27</v>
      </c>
      <c r="F21" s="64">
        <v>0</v>
      </c>
      <c r="G21" s="74">
        <v>0</v>
      </c>
      <c r="H21" s="65">
        <v>0</v>
      </c>
      <c r="I21" s="73">
        <v>0</v>
      </c>
      <c r="J21" s="70">
        <v>0</v>
      </c>
      <c r="K21" s="70">
        <v>0</v>
      </c>
      <c r="L21" s="66">
        <f>713-694</f>
        <v>19</v>
      </c>
      <c r="M21" s="67">
        <f>695-682</f>
        <v>13</v>
      </c>
      <c r="N21" s="67">
        <f>722-699</f>
        <v>23</v>
      </c>
      <c r="O21" s="68">
        <f>536-522</f>
        <v>14</v>
      </c>
      <c r="P21" s="67">
        <f>536-523</f>
        <v>13</v>
      </c>
      <c r="Q21" s="67">
        <f>452-445</f>
        <v>7</v>
      </c>
      <c r="R21" s="69">
        <v>0</v>
      </c>
      <c r="S21" s="70">
        <v>0</v>
      </c>
      <c r="T21" s="70">
        <v>0</v>
      </c>
      <c r="U21" s="66">
        <f>475-463</f>
        <v>12</v>
      </c>
      <c r="V21" s="67">
        <f>463-449</f>
        <v>14</v>
      </c>
      <c r="W21" s="67">
        <f>487-468</f>
        <v>19</v>
      </c>
      <c r="X21" s="66">
        <f>719-695</f>
        <v>24</v>
      </c>
      <c r="Y21" s="67">
        <f>701-686</f>
        <v>15</v>
      </c>
      <c r="Z21" s="67">
        <f>725-702</f>
        <v>23</v>
      </c>
      <c r="AA21" s="66">
        <f>721-711</f>
        <v>10</v>
      </c>
      <c r="AB21" s="67">
        <f>385-365</f>
        <v>20</v>
      </c>
      <c r="AC21" s="66">
        <f>708-692</f>
        <v>16</v>
      </c>
      <c r="AD21" s="67">
        <f>708-659</f>
        <v>49</v>
      </c>
      <c r="AE21" s="66">
        <v>0</v>
      </c>
      <c r="AF21" s="67">
        <v>0</v>
      </c>
      <c r="AG21" s="64">
        <v>0</v>
      </c>
      <c r="AH21" s="74">
        <v>0</v>
      </c>
      <c r="AI21" s="64">
        <v>0</v>
      </c>
      <c r="AJ21" s="74">
        <v>0</v>
      </c>
      <c r="AK21" s="148">
        <f>821-785.5</f>
        <v>35.5</v>
      </c>
      <c r="AL21">
        <f>814-779</f>
        <v>35</v>
      </c>
      <c r="AM21" s="148">
        <f>757.5-733</f>
        <v>24.5</v>
      </c>
      <c r="AN21">
        <f>762.5-733</f>
        <v>29.5</v>
      </c>
      <c r="AO21">
        <v>47</v>
      </c>
      <c r="AP21">
        <v>0</v>
      </c>
    </row>
    <row r="22" spans="1:42" x14ac:dyDescent="0.3">
      <c r="A22" s="30">
        <v>22</v>
      </c>
      <c r="G22" s="74"/>
    </row>
    <row r="23" spans="1:42" x14ac:dyDescent="0.3">
      <c r="A23" s="30">
        <v>23</v>
      </c>
      <c r="B23" t="s">
        <v>162</v>
      </c>
      <c r="C23" s="64">
        <v>78</v>
      </c>
      <c r="D23" s="65">
        <v>112</v>
      </c>
      <c r="E23" s="65">
        <v>60</v>
      </c>
      <c r="F23" s="64">
        <v>88</v>
      </c>
      <c r="G23" s="65">
        <v>117</v>
      </c>
      <c r="H23" s="65">
        <v>68</v>
      </c>
      <c r="I23" s="66">
        <v>78</v>
      </c>
      <c r="J23" s="65">
        <v>111</v>
      </c>
      <c r="K23" s="65">
        <v>51</v>
      </c>
      <c r="L23" s="66">
        <v>86</v>
      </c>
      <c r="M23" s="67">
        <v>101</v>
      </c>
      <c r="N23" s="67">
        <v>78</v>
      </c>
      <c r="O23" s="68">
        <v>104</v>
      </c>
      <c r="P23" s="67">
        <v>114</v>
      </c>
      <c r="Q23" s="67">
        <f>516-446</f>
        <v>70</v>
      </c>
      <c r="R23" s="68">
        <v>80</v>
      </c>
      <c r="S23" s="67">
        <v>90</v>
      </c>
      <c r="T23" s="67">
        <v>70</v>
      </c>
      <c r="U23" s="66">
        <f>376-295</f>
        <v>81</v>
      </c>
      <c r="V23" s="67">
        <f>389-280</f>
        <v>109</v>
      </c>
      <c r="W23" s="67">
        <f>361-303</f>
        <v>58</v>
      </c>
      <c r="X23" s="66">
        <v>77</v>
      </c>
      <c r="Y23" s="67">
        <v>91</v>
      </c>
      <c r="Z23" s="67">
        <v>67</v>
      </c>
      <c r="AA23" s="66">
        <f>458-381</f>
        <v>77</v>
      </c>
      <c r="AB23" s="67">
        <f>444-395</f>
        <v>49</v>
      </c>
      <c r="AC23" s="66">
        <f>470-418</f>
        <v>52</v>
      </c>
      <c r="AD23" s="67">
        <f>525-436</f>
        <v>89</v>
      </c>
      <c r="AE23" s="66">
        <f>437-374</f>
        <v>63</v>
      </c>
      <c r="AF23" s="67">
        <f>498-412</f>
        <v>86</v>
      </c>
      <c r="AG23" s="148">
        <f>461-375</f>
        <v>86</v>
      </c>
      <c r="AH23">
        <f>480-358</f>
        <v>122</v>
      </c>
      <c r="AI23" s="148">
        <f>428-359</f>
        <v>69</v>
      </c>
      <c r="AJ23">
        <f>453-334</f>
        <v>119</v>
      </c>
      <c r="AK23" s="148">
        <f>515-447</f>
        <v>68</v>
      </c>
      <c r="AL23">
        <f>529-435</f>
        <v>94</v>
      </c>
      <c r="AM23" s="148">
        <f>371-307.5</f>
        <v>63.5</v>
      </c>
      <c r="AN23">
        <f>440-351.5</f>
        <v>88.5</v>
      </c>
      <c r="AO23">
        <v>96</v>
      </c>
      <c r="AP23">
        <v>103</v>
      </c>
    </row>
    <row r="24" spans="1:42" x14ac:dyDescent="0.3">
      <c r="A24" s="30">
        <v>24</v>
      </c>
      <c r="B24" t="s">
        <v>184</v>
      </c>
      <c r="C24" s="64">
        <f t="shared" ref="C24:AP24" si="5">C6*1.5</f>
        <v>1335</v>
      </c>
      <c r="D24" s="65">
        <f t="shared" si="5"/>
        <v>1337.25</v>
      </c>
      <c r="E24" s="65">
        <f t="shared" si="5"/>
        <v>1335</v>
      </c>
      <c r="F24" s="64">
        <f t="shared" si="5"/>
        <v>1335</v>
      </c>
      <c r="G24" s="65">
        <f t="shared" si="5"/>
        <v>1333.5</v>
      </c>
      <c r="H24" s="65">
        <f t="shared" si="5"/>
        <v>1335</v>
      </c>
      <c r="I24" s="65">
        <f t="shared" si="5"/>
        <v>1410</v>
      </c>
      <c r="J24" s="65">
        <f t="shared" si="5"/>
        <v>1410</v>
      </c>
      <c r="K24" s="65">
        <f t="shared" si="5"/>
        <v>1410</v>
      </c>
      <c r="L24" s="64">
        <f t="shared" si="5"/>
        <v>1348.5</v>
      </c>
      <c r="M24" s="65">
        <f t="shared" si="5"/>
        <v>1353</v>
      </c>
      <c r="N24" s="65">
        <f t="shared" si="5"/>
        <v>1348.5</v>
      </c>
      <c r="O24" s="75">
        <f t="shared" si="5"/>
        <v>957</v>
      </c>
      <c r="P24" s="65">
        <f t="shared" si="5"/>
        <v>972</v>
      </c>
      <c r="Q24" s="65">
        <f t="shared" si="5"/>
        <v>1078.5</v>
      </c>
      <c r="R24" s="75">
        <f t="shared" si="5"/>
        <v>1320</v>
      </c>
      <c r="S24" s="65">
        <f t="shared" si="5"/>
        <v>1336.5</v>
      </c>
      <c r="T24" s="65">
        <f t="shared" si="5"/>
        <v>1305</v>
      </c>
      <c r="U24" s="64">
        <f t="shared" si="5"/>
        <v>615</v>
      </c>
      <c r="V24" s="65">
        <f t="shared" si="5"/>
        <v>616.5</v>
      </c>
      <c r="W24" s="65">
        <f t="shared" si="5"/>
        <v>615</v>
      </c>
      <c r="X24" s="64">
        <f t="shared" si="5"/>
        <v>1336.5</v>
      </c>
      <c r="Y24" s="65">
        <f t="shared" si="5"/>
        <v>1336.5</v>
      </c>
      <c r="Z24" s="65">
        <f t="shared" si="5"/>
        <v>1336.5</v>
      </c>
      <c r="AA24" s="64">
        <f t="shared" si="5"/>
        <v>1449</v>
      </c>
      <c r="AB24" s="65">
        <f t="shared" si="5"/>
        <v>1447.5</v>
      </c>
      <c r="AC24" s="64">
        <f t="shared" si="5"/>
        <v>1305</v>
      </c>
      <c r="AD24" s="65">
        <f t="shared" si="5"/>
        <v>1260</v>
      </c>
      <c r="AE24" s="64">
        <f t="shared" si="5"/>
        <v>1246.5</v>
      </c>
      <c r="AF24" s="65">
        <f t="shared" si="5"/>
        <v>1236</v>
      </c>
      <c r="AG24" s="64">
        <f t="shared" si="5"/>
        <v>1369.5</v>
      </c>
      <c r="AH24" s="65">
        <f t="shared" si="5"/>
        <v>1389</v>
      </c>
      <c r="AI24" s="64">
        <f t="shared" si="5"/>
        <v>1383</v>
      </c>
      <c r="AJ24" s="74">
        <f t="shared" si="5"/>
        <v>1450.5</v>
      </c>
      <c r="AK24" s="64">
        <f t="shared" si="5"/>
        <v>1452</v>
      </c>
      <c r="AL24" s="74">
        <f t="shared" si="5"/>
        <v>1464</v>
      </c>
      <c r="AM24" s="74">
        <f t="shared" si="5"/>
        <v>1344</v>
      </c>
      <c r="AN24" s="74">
        <f t="shared" si="5"/>
        <v>1369.5</v>
      </c>
      <c r="AO24" s="74">
        <f t="shared" si="5"/>
        <v>1081.5</v>
      </c>
      <c r="AP24" s="74">
        <f t="shared" si="5"/>
        <v>417</v>
      </c>
    </row>
    <row r="25" spans="1:42" x14ac:dyDescent="0.3">
      <c r="A25" s="30">
        <v>25</v>
      </c>
      <c r="B25" t="s">
        <v>185</v>
      </c>
      <c r="C25" s="64">
        <v>833</v>
      </c>
      <c r="D25" s="65">
        <v>832</v>
      </c>
      <c r="E25" s="65">
        <v>832</v>
      </c>
      <c r="F25" s="64">
        <v>783</v>
      </c>
      <c r="G25" s="65">
        <v>803</v>
      </c>
      <c r="H25" s="65">
        <v>742</v>
      </c>
      <c r="I25" s="66">
        <v>873</v>
      </c>
      <c r="J25" s="65">
        <v>872</v>
      </c>
      <c r="K25" s="65">
        <v>873</v>
      </c>
      <c r="L25" s="66">
        <f>903-18</f>
        <v>885</v>
      </c>
      <c r="M25" s="67">
        <f>907-3</f>
        <v>904</v>
      </c>
      <c r="N25" s="67">
        <f>900-24</f>
        <v>876</v>
      </c>
      <c r="O25" s="68">
        <f>908-46</f>
        <v>862</v>
      </c>
      <c r="P25" s="67">
        <f>891-49</f>
        <v>842</v>
      </c>
      <c r="Q25" s="67">
        <f>900-71</f>
        <v>829</v>
      </c>
      <c r="R25" s="68">
        <f>859-24</f>
        <v>835</v>
      </c>
      <c r="S25" s="67">
        <f>859-24</f>
        <v>835</v>
      </c>
      <c r="T25" s="67">
        <f>858-23</f>
        <v>835</v>
      </c>
      <c r="U25" s="66">
        <f>661-62</f>
        <v>599</v>
      </c>
      <c r="V25" s="67">
        <f>651-62</f>
        <v>589</v>
      </c>
      <c r="W25" s="67">
        <f>650-60</f>
        <v>590</v>
      </c>
      <c r="X25" s="66">
        <f>883-47</f>
        <v>836</v>
      </c>
      <c r="Y25" s="67">
        <f>882-46</f>
        <v>836</v>
      </c>
      <c r="Z25" s="67">
        <f>881-47</f>
        <v>834</v>
      </c>
      <c r="AA25" s="66">
        <f>924-22</f>
        <v>902</v>
      </c>
      <c r="AB25" s="67">
        <f>922-82</f>
        <v>840</v>
      </c>
      <c r="AC25" s="66">
        <f>943-61</f>
        <v>882</v>
      </c>
      <c r="AD25" s="67">
        <f>950-59</f>
        <v>891</v>
      </c>
      <c r="AE25" s="66">
        <f>904-75</f>
        <v>829</v>
      </c>
      <c r="AF25" s="67">
        <f>947-69</f>
        <v>878</v>
      </c>
      <c r="AG25" s="148">
        <f>882-61</f>
        <v>821</v>
      </c>
      <c r="AH25">
        <f>885-55</f>
        <v>830</v>
      </c>
      <c r="AI25" s="148">
        <f>923-106</f>
        <v>817</v>
      </c>
      <c r="AJ25">
        <f>930-97</f>
        <v>833</v>
      </c>
      <c r="AK25" s="148">
        <f>963-39</f>
        <v>924</v>
      </c>
      <c r="AL25">
        <f>969-33</f>
        <v>936</v>
      </c>
      <c r="AM25" s="148">
        <f>788-62</f>
        <v>726</v>
      </c>
      <c r="AN25">
        <f>794-57.5</f>
        <v>736.5</v>
      </c>
      <c r="AO25">
        <v>624</v>
      </c>
      <c r="AP25">
        <v>533</v>
      </c>
    </row>
    <row r="26" spans="1:42" x14ac:dyDescent="0.3">
      <c r="A26" s="30">
        <v>26</v>
      </c>
      <c r="B26" t="s">
        <v>170</v>
      </c>
      <c r="C26" s="64">
        <v>798</v>
      </c>
      <c r="D26" s="65">
        <v>782</v>
      </c>
      <c r="E26" s="65">
        <v>794</v>
      </c>
      <c r="F26" s="64">
        <v>756</v>
      </c>
      <c r="G26" s="65">
        <v>795</v>
      </c>
      <c r="H26" s="65">
        <v>766</v>
      </c>
      <c r="I26" s="66">
        <v>839</v>
      </c>
      <c r="J26" s="65">
        <v>839</v>
      </c>
      <c r="K26" s="65">
        <v>839</v>
      </c>
      <c r="L26" s="66">
        <f>848-15</f>
        <v>833</v>
      </c>
      <c r="M26" s="67">
        <f>847-9</f>
        <v>838</v>
      </c>
      <c r="N26" s="67">
        <f>844-18</f>
        <v>826</v>
      </c>
      <c r="O26" s="68">
        <f>930-28</f>
        <v>902</v>
      </c>
      <c r="P26" s="67">
        <f>864-16</f>
        <v>848</v>
      </c>
      <c r="Q26" s="67">
        <f>929-27</f>
        <v>902</v>
      </c>
      <c r="R26" s="68">
        <f>801-33</f>
        <v>768</v>
      </c>
      <c r="S26" s="67">
        <f>800-32</f>
        <v>768</v>
      </c>
      <c r="T26" s="67">
        <f>801-33</f>
        <v>768</v>
      </c>
      <c r="U26" s="66">
        <f>710-50</f>
        <v>660</v>
      </c>
      <c r="V26" s="67">
        <f>707-50</f>
        <v>657</v>
      </c>
      <c r="W26" s="67">
        <f>696-50</f>
        <v>646</v>
      </c>
      <c r="X26" s="66">
        <f>831-37</f>
        <v>794</v>
      </c>
      <c r="Y26" s="67">
        <f>843-38</f>
        <v>805</v>
      </c>
      <c r="Z26" s="67">
        <f>836-44</f>
        <v>792</v>
      </c>
      <c r="AA26" s="66">
        <f>897-18</f>
        <v>879</v>
      </c>
      <c r="AB26" s="67">
        <f>864-48</f>
        <v>816</v>
      </c>
      <c r="AC26" s="66">
        <f>906-85</f>
        <v>821</v>
      </c>
      <c r="AD26" s="67">
        <f>899-81</f>
        <v>818</v>
      </c>
      <c r="AE26" s="66">
        <f>777-18</f>
        <v>759</v>
      </c>
      <c r="AF26" s="67">
        <f>851-10</f>
        <v>841</v>
      </c>
      <c r="AG26" s="148">
        <f>824-32</f>
        <v>792</v>
      </c>
      <c r="AH26">
        <f>829-27</f>
        <v>802</v>
      </c>
      <c r="AI26" s="148">
        <f>859-60</f>
        <v>799</v>
      </c>
      <c r="AJ26">
        <f>892-50</f>
        <v>842</v>
      </c>
      <c r="AK26" s="148">
        <f>898-55</f>
        <v>843</v>
      </c>
      <c r="AL26">
        <f>906-46</f>
        <v>860</v>
      </c>
      <c r="AM26" s="148">
        <f>738.5-46</f>
        <v>692.5</v>
      </c>
      <c r="AN26">
        <f>736-40</f>
        <v>696</v>
      </c>
      <c r="AO26">
        <v>674</v>
      </c>
      <c r="AP26">
        <v>627</v>
      </c>
    </row>
    <row r="27" spans="1:42" x14ac:dyDescent="0.3">
      <c r="A27" s="30">
        <v>27</v>
      </c>
      <c r="B27" t="s">
        <v>171</v>
      </c>
      <c r="C27" s="64">
        <v>851</v>
      </c>
      <c r="D27" s="65">
        <v>860</v>
      </c>
      <c r="E27" s="65">
        <v>835</v>
      </c>
      <c r="F27" s="64">
        <v>857</v>
      </c>
      <c r="G27" s="65">
        <v>839</v>
      </c>
      <c r="H27" s="65">
        <v>845</v>
      </c>
      <c r="I27" s="66">
        <v>878</v>
      </c>
      <c r="J27" s="65">
        <v>878</v>
      </c>
      <c r="K27" s="65">
        <v>876</v>
      </c>
      <c r="L27" s="66">
        <f>908-15</f>
        <v>893</v>
      </c>
      <c r="M27" s="67">
        <f>911-5</f>
        <v>906</v>
      </c>
      <c r="N27" s="67">
        <f>904-22</f>
        <v>882</v>
      </c>
      <c r="O27" s="68">
        <f>903-6</f>
        <v>897</v>
      </c>
      <c r="P27" s="67">
        <f>828-72</f>
        <v>756</v>
      </c>
      <c r="Q27" s="67">
        <f>892-6</f>
        <v>886</v>
      </c>
      <c r="R27" s="68">
        <f>856-33</f>
        <v>823</v>
      </c>
      <c r="S27" s="67">
        <f>855-31</f>
        <v>824</v>
      </c>
      <c r="T27" s="67">
        <f>855-31</f>
        <v>824</v>
      </c>
      <c r="U27" s="66">
        <f>689-50</f>
        <v>639</v>
      </c>
      <c r="V27" s="67">
        <f>695-50</f>
        <v>645</v>
      </c>
      <c r="W27" s="67">
        <f>689-50</f>
        <v>639</v>
      </c>
      <c r="X27" s="66">
        <f>880-17</f>
        <v>863</v>
      </c>
      <c r="Y27" s="67">
        <f>881-16</f>
        <v>865</v>
      </c>
      <c r="Z27" s="67">
        <f>887-14</f>
        <v>873</v>
      </c>
      <c r="AA27" s="66">
        <f>924-37</f>
        <v>887</v>
      </c>
      <c r="AB27" s="67">
        <f>922-72</f>
        <v>850</v>
      </c>
      <c r="AC27" s="66">
        <f>950-60</f>
        <v>890</v>
      </c>
      <c r="AD27" s="67">
        <f>945-39</f>
        <v>906</v>
      </c>
      <c r="AE27" s="66">
        <f>900-12</f>
        <v>888</v>
      </c>
      <c r="AF27" s="67">
        <f>947-27</f>
        <v>920</v>
      </c>
      <c r="AG27" s="148">
        <f>882-15</f>
        <v>867</v>
      </c>
      <c r="AH27">
        <f>885-12</f>
        <v>873</v>
      </c>
      <c r="AI27" s="148">
        <f>932-43</f>
        <v>889</v>
      </c>
      <c r="AJ27">
        <f>933-32</f>
        <v>901</v>
      </c>
      <c r="AK27" s="148">
        <f>976-26</f>
        <v>950</v>
      </c>
      <c r="AL27">
        <f>981-14</f>
        <v>967</v>
      </c>
      <c r="AM27" s="148">
        <f>796-21</f>
        <v>775</v>
      </c>
      <c r="AN27">
        <f>795-17</f>
        <v>778</v>
      </c>
      <c r="AO27">
        <v>648</v>
      </c>
      <c r="AP27">
        <v>646</v>
      </c>
    </row>
    <row r="28" spans="1:42" x14ac:dyDescent="0.3">
      <c r="A28" s="30">
        <v>28</v>
      </c>
      <c r="B28" t="s">
        <v>172</v>
      </c>
      <c r="C28" s="64">
        <v>854</v>
      </c>
      <c r="D28" s="65">
        <v>881</v>
      </c>
      <c r="E28" s="65">
        <v>850</v>
      </c>
      <c r="F28" s="64">
        <v>823</v>
      </c>
      <c r="G28" s="65">
        <v>840</v>
      </c>
      <c r="H28" s="65">
        <v>876</v>
      </c>
      <c r="I28" s="66">
        <v>875</v>
      </c>
      <c r="J28" s="65">
        <v>875</v>
      </c>
      <c r="K28" s="65">
        <v>874</v>
      </c>
      <c r="L28" s="66">
        <f>916-9</f>
        <v>907</v>
      </c>
      <c r="M28" s="67">
        <f>916+6</f>
        <v>922</v>
      </c>
      <c r="N28" s="67">
        <f>906-12</f>
        <v>894</v>
      </c>
      <c r="O28" s="68">
        <f>909-41</f>
        <v>868</v>
      </c>
      <c r="P28" s="67">
        <f>862-80</f>
        <v>782</v>
      </c>
      <c r="Q28" s="67">
        <f>909-41</f>
        <v>868</v>
      </c>
      <c r="R28" s="68">
        <f>862-38</f>
        <v>824</v>
      </c>
      <c r="S28" s="67">
        <f>861-36</f>
        <v>825</v>
      </c>
      <c r="T28" s="67">
        <f>861-37</f>
        <v>824</v>
      </c>
      <c r="U28" s="66">
        <f>675-49</f>
        <v>626</v>
      </c>
      <c r="V28" s="67">
        <f>684-50</f>
        <v>634</v>
      </c>
      <c r="W28" s="67">
        <f>672-50</f>
        <v>622</v>
      </c>
      <c r="X28" s="66">
        <f>883-12</f>
        <v>871</v>
      </c>
      <c r="Y28" s="67">
        <f>882-14</f>
        <v>868</v>
      </c>
      <c r="Z28" s="67">
        <f>887-19</f>
        <v>868</v>
      </c>
      <c r="AA28" s="66">
        <f>923-36</f>
        <v>887</v>
      </c>
      <c r="AB28" s="67">
        <f>922-72</f>
        <v>850</v>
      </c>
      <c r="AC28" s="66">
        <f>950-61</f>
        <v>889</v>
      </c>
      <c r="AD28" s="67">
        <f>946-18</f>
        <v>928</v>
      </c>
      <c r="AE28" s="66">
        <f>900-12</f>
        <v>888</v>
      </c>
      <c r="AF28" s="67">
        <f>947-1</f>
        <v>946</v>
      </c>
      <c r="AG28" s="148">
        <f>892-11</f>
        <v>881</v>
      </c>
      <c r="AH28">
        <f>887-8</f>
        <v>879</v>
      </c>
      <c r="AI28" s="148">
        <f>923-33</f>
        <v>890</v>
      </c>
      <c r="AJ28">
        <f>933-24</f>
        <v>909</v>
      </c>
      <c r="AK28" s="148">
        <f>978-34</f>
        <v>944</v>
      </c>
      <c r="AL28">
        <f>983-23</f>
        <v>960</v>
      </c>
      <c r="AM28" s="148">
        <f>810-21</f>
        <v>789</v>
      </c>
      <c r="AN28">
        <f>812-15</f>
        <v>797</v>
      </c>
      <c r="AO28">
        <v>655</v>
      </c>
      <c r="AP28">
        <v>604</v>
      </c>
    </row>
    <row r="29" spans="1:42" x14ac:dyDescent="0.3">
      <c r="A29" s="30">
        <v>29</v>
      </c>
      <c r="B29" t="s">
        <v>173</v>
      </c>
      <c r="C29" s="64">
        <v>886</v>
      </c>
      <c r="D29" s="65">
        <v>891</v>
      </c>
      <c r="E29" s="65">
        <v>893</v>
      </c>
      <c r="F29" s="64">
        <v>888</v>
      </c>
      <c r="G29" s="65">
        <v>895</v>
      </c>
      <c r="H29" s="65">
        <v>877</v>
      </c>
      <c r="I29" s="66">
        <v>944</v>
      </c>
      <c r="J29" s="65">
        <v>948</v>
      </c>
      <c r="K29" s="65">
        <v>933</v>
      </c>
      <c r="L29" s="66">
        <f>750+151</f>
        <v>901</v>
      </c>
      <c r="M29" s="67">
        <f>747+162</f>
        <v>909</v>
      </c>
      <c r="N29" s="67">
        <f>749+143</f>
        <v>892</v>
      </c>
      <c r="O29" s="68">
        <f>708+173</f>
        <v>881</v>
      </c>
      <c r="P29" s="67">
        <f>723+132</f>
        <v>855</v>
      </c>
      <c r="Q29" s="67">
        <f>708+173</f>
        <v>881</v>
      </c>
      <c r="R29" s="68">
        <f>745+146</f>
        <v>891</v>
      </c>
      <c r="S29" s="67">
        <f>745+147</f>
        <v>892</v>
      </c>
      <c r="T29" s="67">
        <f>745+146</f>
        <v>891</v>
      </c>
      <c r="U29" s="66">
        <f>716+4</f>
        <v>720</v>
      </c>
      <c r="V29" s="67">
        <f>721+5</f>
        <v>726</v>
      </c>
      <c r="W29" s="67">
        <f>716+4</f>
        <v>720</v>
      </c>
      <c r="X29" s="66">
        <f>747+147</f>
        <v>894</v>
      </c>
      <c r="Y29" s="67">
        <f>746+146</f>
        <v>892</v>
      </c>
      <c r="Z29" s="67">
        <f>151+747</f>
        <v>898</v>
      </c>
      <c r="AA29" s="66">
        <f>778+173</f>
        <v>951</v>
      </c>
      <c r="AB29" s="67">
        <f>768+174</f>
        <v>942</v>
      </c>
      <c r="AC29" s="66">
        <f>760+170</f>
        <v>930</v>
      </c>
      <c r="AD29" s="67">
        <f>788+178</f>
        <v>966</v>
      </c>
      <c r="AE29" s="66">
        <f>738+152</f>
        <v>890</v>
      </c>
      <c r="AF29" s="67">
        <f>750+165</f>
        <v>915</v>
      </c>
      <c r="AG29" s="148">
        <f>780+133</f>
        <v>913</v>
      </c>
      <c r="AH29">
        <f>786+144</f>
        <v>930</v>
      </c>
      <c r="AI29" s="148">
        <f>782+142</f>
        <v>924</v>
      </c>
      <c r="AJ29">
        <f>791+166</f>
        <v>957</v>
      </c>
      <c r="AK29" s="148">
        <f>848+121</f>
        <v>969</v>
      </c>
      <c r="AL29">
        <f>851+129</f>
        <v>980</v>
      </c>
      <c r="AM29" s="148">
        <f>768+144</f>
        <v>912</v>
      </c>
      <c r="AN29">
        <f>766+156</f>
        <v>922</v>
      </c>
      <c r="AO29">
        <v>899</v>
      </c>
      <c r="AP29">
        <v>717</v>
      </c>
    </row>
    <row r="30" spans="1:42" x14ac:dyDescent="0.3">
      <c r="A30" s="30">
        <v>30</v>
      </c>
      <c r="B30" t="s">
        <v>174</v>
      </c>
      <c r="C30" s="64">
        <v>707</v>
      </c>
      <c r="D30" s="65">
        <v>730</v>
      </c>
      <c r="E30" s="65">
        <v>690</v>
      </c>
      <c r="F30" s="64">
        <v>699</v>
      </c>
      <c r="G30" s="65">
        <v>695</v>
      </c>
      <c r="H30" s="65">
        <v>684</v>
      </c>
      <c r="I30" s="66">
        <v>725</v>
      </c>
      <c r="J30" s="65">
        <v>727</v>
      </c>
      <c r="K30" s="65">
        <v>723</v>
      </c>
      <c r="L30" s="66">
        <f>730-55</f>
        <v>675</v>
      </c>
      <c r="M30" s="67">
        <f>729-36</f>
        <v>693</v>
      </c>
      <c r="N30" s="67">
        <f>733-62</f>
        <v>671</v>
      </c>
      <c r="O30" s="68">
        <f>861-63</f>
        <v>798</v>
      </c>
      <c r="P30" s="67">
        <f>871-96</f>
        <v>775</v>
      </c>
      <c r="Q30" s="67">
        <f>865-97</f>
        <v>768</v>
      </c>
      <c r="R30" s="68">
        <f>736-53</f>
        <v>683</v>
      </c>
      <c r="S30" s="67">
        <f>736-53</f>
        <v>683</v>
      </c>
      <c r="T30" s="67">
        <f>708+53</f>
        <v>761</v>
      </c>
      <c r="U30" s="66">
        <f>595-61</f>
        <v>534</v>
      </c>
      <c r="V30" s="67">
        <f>590-60</f>
        <v>530</v>
      </c>
      <c r="W30" s="67">
        <f>586-60</f>
        <v>526</v>
      </c>
      <c r="X30" s="66">
        <f>779-56</f>
        <v>723</v>
      </c>
      <c r="Y30" s="67">
        <f>786-70</f>
        <v>716</v>
      </c>
      <c r="Z30" s="67">
        <f>780-88</f>
        <v>692</v>
      </c>
      <c r="AA30" s="66">
        <f>844-60</f>
        <v>784</v>
      </c>
      <c r="AB30" s="67">
        <f>802-74</f>
        <v>728</v>
      </c>
      <c r="AC30" s="66">
        <f>786-58</f>
        <v>728</v>
      </c>
      <c r="AD30" s="67">
        <f>809-51</f>
        <v>758</v>
      </c>
      <c r="AE30" s="66">
        <f>768-75</f>
        <v>693</v>
      </c>
      <c r="AF30" s="67">
        <f>829-69</f>
        <v>760</v>
      </c>
      <c r="AG30" s="148">
        <f>781-80</f>
        <v>701</v>
      </c>
      <c r="AH30">
        <f>788-73</f>
        <v>715</v>
      </c>
      <c r="AI30" s="148">
        <f>805-129</f>
        <v>676</v>
      </c>
      <c r="AJ30">
        <f>823-107</f>
        <v>716</v>
      </c>
      <c r="AK30" s="148">
        <f>814-79</f>
        <v>735</v>
      </c>
      <c r="AL30">
        <f>823-72</f>
        <v>751</v>
      </c>
      <c r="AM30" s="148">
        <f>640-88</f>
        <v>552</v>
      </c>
      <c r="AN30">
        <f>651-82</f>
        <v>569</v>
      </c>
      <c r="AO30">
        <v>581</v>
      </c>
      <c r="AP30">
        <v>498</v>
      </c>
    </row>
    <row r="31" spans="1:42" x14ac:dyDescent="0.3">
      <c r="A31" s="30">
        <v>31</v>
      </c>
      <c r="B31" t="s">
        <v>175</v>
      </c>
      <c r="C31" s="64">
        <v>864</v>
      </c>
      <c r="D31" s="65">
        <v>879</v>
      </c>
      <c r="E31" s="65">
        <v>862</v>
      </c>
      <c r="F31" s="64">
        <v>830</v>
      </c>
      <c r="G31" s="65">
        <v>860</v>
      </c>
      <c r="H31" s="65">
        <v>845</v>
      </c>
      <c r="I31" s="66">
        <v>867</v>
      </c>
      <c r="J31" s="65">
        <v>867</v>
      </c>
      <c r="K31" s="65">
        <v>867</v>
      </c>
      <c r="L31" s="66">
        <f>883-22</f>
        <v>861</v>
      </c>
      <c r="M31" s="67">
        <f>884-15</f>
        <v>869</v>
      </c>
      <c r="N31" s="67">
        <f>868-30</f>
        <v>838</v>
      </c>
      <c r="O31" s="68">
        <f>918-16</f>
        <v>902</v>
      </c>
      <c r="P31" s="67">
        <f>864-22</f>
        <v>842</v>
      </c>
      <c r="Q31" s="67">
        <f>878-10</f>
        <v>868</v>
      </c>
      <c r="R31" s="68">
        <f>810-38</f>
        <v>772</v>
      </c>
      <c r="S31" s="67">
        <f>809-37</f>
        <v>772</v>
      </c>
      <c r="T31" s="67">
        <f>810-38</f>
        <v>772</v>
      </c>
      <c r="U31" s="66">
        <f>564-91</f>
        <v>473</v>
      </c>
      <c r="V31" s="67">
        <f>580-90</f>
        <v>490</v>
      </c>
      <c r="W31" s="67">
        <f>563-90</f>
        <v>473</v>
      </c>
      <c r="X31" s="66">
        <f>881-17</f>
        <v>864</v>
      </c>
      <c r="Y31" s="67">
        <f>880-22</f>
        <v>858</v>
      </c>
      <c r="Z31" s="67">
        <f>881-17</f>
        <v>864</v>
      </c>
      <c r="AA31" s="66">
        <f>906-55</f>
        <v>851</v>
      </c>
      <c r="AB31" s="67">
        <f>874-84</f>
        <v>790</v>
      </c>
      <c r="AC31" s="66">
        <f>918-35</f>
        <v>883</v>
      </c>
      <c r="AD31" s="67">
        <f>943-6</f>
        <v>937</v>
      </c>
      <c r="AE31" s="66">
        <f>859-35</f>
        <v>824</v>
      </c>
      <c r="AF31" s="67">
        <f>923-27</f>
        <v>896</v>
      </c>
      <c r="AG31" s="148">
        <f>881-11</f>
        <v>870</v>
      </c>
      <c r="AH31">
        <f>884-8</f>
        <v>876</v>
      </c>
      <c r="AI31" s="148">
        <f>910-30</f>
        <v>880</v>
      </c>
      <c r="AJ31">
        <f>918-19</f>
        <v>899</v>
      </c>
      <c r="AK31" s="148">
        <f>957-20</f>
        <v>937</v>
      </c>
      <c r="AL31">
        <f>965-12</f>
        <v>953</v>
      </c>
      <c r="AM31" s="148">
        <f>750-20</f>
        <v>730</v>
      </c>
      <c r="AN31">
        <f>754-12</f>
        <v>742</v>
      </c>
      <c r="AO31">
        <v>508</v>
      </c>
      <c r="AP31">
        <v>454</v>
      </c>
    </row>
    <row r="32" spans="1:42" x14ac:dyDescent="0.3">
      <c r="A32" s="30">
        <v>32</v>
      </c>
    </row>
    <row r="33" spans="1:41" x14ac:dyDescent="0.3">
      <c r="A33" s="30">
        <v>33</v>
      </c>
      <c r="B33" t="s">
        <v>176</v>
      </c>
      <c r="C33" s="64">
        <v>40</v>
      </c>
      <c r="D33" s="65">
        <v>50</v>
      </c>
      <c r="E33" s="65">
        <v>30.9</v>
      </c>
      <c r="F33" s="64">
        <v>80</v>
      </c>
      <c r="G33" s="65">
        <v>101</v>
      </c>
      <c r="H33" s="65">
        <v>62</v>
      </c>
      <c r="I33" s="66">
        <v>66</v>
      </c>
      <c r="J33" s="65">
        <v>96</v>
      </c>
      <c r="K33" s="65">
        <v>40</v>
      </c>
      <c r="L33" s="66">
        <f>451-388</f>
        <v>63</v>
      </c>
      <c r="M33" s="67">
        <v>76</v>
      </c>
      <c r="N33" s="67">
        <v>54</v>
      </c>
      <c r="O33" s="68">
        <v>56</v>
      </c>
      <c r="P33" s="67">
        <v>68</v>
      </c>
      <c r="Q33" s="67">
        <v>26</v>
      </c>
      <c r="R33" s="68">
        <v>66</v>
      </c>
      <c r="S33" s="67">
        <v>76</v>
      </c>
      <c r="T33" s="67">
        <v>53</v>
      </c>
      <c r="U33" s="66">
        <v>48</v>
      </c>
      <c r="V33" s="67">
        <v>64</v>
      </c>
      <c r="W33" s="67">
        <v>30</v>
      </c>
      <c r="X33" s="66">
        <v>40</v>
      </c>
      <c r="Y33" s="67">
        <v>58</v>
      </c>
      <c r="Z33" s="67">
        <v>28</v>
      </c>
      <c r="AA33" s="66">
        <f>491-424</f>
        <v>67</v>
      </c>
      <c r="AB33" s="67">
        <f>478-437</f>
        <v>41</v>
      </c>
      <c r="AC33" s="66">
        <f>496-472</f>
        <v>24</v>
      </c>
      <c r="AD33" s="67">
        <f>467-428</f>
        <v>39</v>
      </c>
      <c r="AE33" s="66">
        <f>534-480</f>
        <v>54</v>
      </c>
      <c r="AF33" s="67">
        <f>487-418</f>
        <v>69</v>
      </c>
      <c r="AO33">
        <v>0</v>
      </c>
    </row>
    <row r="34" spans="1:41" x14ac:dyDescent="0.3">
      <c r="A34" s="30">
        <v>34</v>
      </c>
      <c r="B34" t="s">
        <v>177</v>
      </c>
      <c r="C34" s="64">
        <v>80</v>
      </c>
      <c r="D34" s="65">
        <v>108</v>
      </c>
      <c r="E34" s="65">
        <v>62.8</v>
      </c>
      <c r="F34" s="64">
        <v>88</v>
      </c>
      <c r="G34" s="65">
        <v>116</v>
      </c>
      <c r="H34" s="65">
        <v>68</v>
      </c>
      <c r="I34" s="66">
        <v>78</v>
      </c>
      <c r="J34" s="65">
        <v>110</v>
      </c>
      <c r="K34" s="65">
        <v>52</v>
      </c>
      <c r="L34" s="66">
        <v>88</v>
      </c>
      <c r="M34" s="67">
        <v>112</v>
      </c>
      <c r="N34" s="67">
        <v>86</v>
      </c>
      <c r="O34" s="68">
        <v>112</v>
      </c>
      <c r="P34" s="67">
        <v>126</v>
      </c>
      <c r="Q34" s="67">
        <v>66</v>
      </c>
      <c r="R34" s="68">
        <v>80</v>
      </c>
      <c r="S34" s="67">
        <v>96</v>
      </c>
      <c r="T34" s="67">
        <v>70</v>
      </c>
      <c r="U34" s="66">
        <v>78</v>
      </c>
      <c r="V34" s="67">
        <v>92</v>
      </c>
      <c r="W34" s="67">
        <v>62</v>
      </c>
      <c r="X34" s="66">
        <v>77</v>
      </c>
      <c r="Y34" s="67">
        <v>93</v>
      </c>
      <c r="Z34" s="67">
        <v>65</v>
      </c>
      <c r="AA34" s="66">
        <f>655-575</f>
        <v>80</v>
      </c>
      <c r="AB34" s="67">
        <f>644-587</f>
        <v>57</v>
      </c>
      <c r="AC34" s="66">
        <f>748-690</f>
        <v>58</v>
      </c>
      <c r="AD34" s="67">
        <f>736-655</f>
        <v>81</v>
      </c>
      <c r="AE34" s="66">
        <f>739-677</f>
        <v>62</v>
      </c>
      <c r="AF34" s="67">
        <f>766-680</f>
        <v>86</v>
      </c>
      <c r="AO34">
        <v>104</v>
      </c>
    </row>
    <row r="35" spans="1:41" x14ac:dyDescent="0.3">
      <c r="A35" s="30">
        <v>35</v>
      </c>
      <c r="B35" t="s">
        <v>135</v>
      </c>
      <c r="C35" s="64">
        <v>236.5</v>
      </c>
      <c r="D35" s="65">
        <v>308.5</v>
      </c>
      <c r="E35" s="65">
        <v>231.5</v>
      </c>
      <c r="F35" s="64">
        <v>238</v>
      </c>
      <c r="G35" s="65">
        <v>240</v>
      </c>
      <c r="H35" s="65">
        <v>238</v>
      </c>
      <c r="I35" s="66">
        <v>231</v>
      </c>
      <c r="J35" s="65">
        <v>231.5</v>
      </c>
      <c r="K35" s="65">
        <v>232</v>
      </c>
      <c r="L35" s="66">
        <f>597/2</f>
        <v>298.5</v>
      </c>
      <c r="M35" s="67">
        <v>233</v>
      </c>
      <c r="N35" s="67">
        <v>232</v>
      </c>
      <c r="O35" s="68">
        <v>228</v>
      </c>
      <c r="P35" s="67">
        <v>245</v>
      </c>
      <c r="Q35" s="67">
        <v>245</v>
      </c>
      <c r="R35" s="68">
        <v>216</v>
      </c>
      <c r="S35" s="67">
        <v>226</v>
      </c>
      <c r="T35" s="67">
        <v>210</v>
      </c>
      <c r="U35" s="66">
        <v>167</v>
      </c>
      <c r="V35" s="67">
        <v>168</v>
      </c>
      <c r="W35" s="67">
        <v>165</v>
      </c>
      <c r="X35" s="66">
        <v>215</v>
      </c>
      <c r="Y35" s="67">
        <v>212</v>
      </c>
      <c r="Z35" s="67">
        <v>213</v>
      </c>
      <c r="AA35" s="66">
        <v>185</v>
      </c>
      <c r="AB35" s="67">
        <v>178</v>
      </c>
      <c r="AC35" s="66">
        <v>318</v>
      </c>
      <c r="AD35" s="67">
        <v>242</v>
      </c>
      <c r="AE35" s="66">
        <v>294</v>
      </c>
      <c r="AF35" s="67">
        <v>295</v>
      </c>
      <c r="AO35">
        <v>34</v>
      </c>
    </row>
    <row r="36" spans="1:41" x14ac:dyDescent="0.3">
      <c r="A36" s="30">
        <v>36</v>
      </c>
      <c r="B36" t="s">
        <v>136</v>
      </c>
      <c r="C36" s="64">
        <v>284</v>
      </c>
      <c r="D36" s="65">
        <v>220.5</v>
      </c>
      <c r="E36" s="65">
        <v>284</v>
      </c>
      <c r="F36" s="64">
        <v>323.5</v>
      </c>
      <c r="G36" s="65">
        <v>323.5</v>
      </c>
      <c r="H36" s="65">
        <v>323.5</v>
      </c>
      <c r="I36" s="66">
        <v>345</v>
      </c>
      <c r="J36" s="65">
        <v>348.5</v>
      </c>
      <c r="K36" s="65">
        <v>343.5</v>
      </c>
      <c r="L36" s="66">
        <v>231</v>
      </c>
      <c r="M36" s="67">
        <v>300</v>
      </c>
      <c r="N36" s="67">
        <f>597/2</f>
        <v>298.5</v>
      </c>
      <c r="O36" s="68">
        <f>591/2</f>
        <v>295.5</v>
      </c>
      <c r="P36" s="67">
        <f>591/2</f>
        <v>295.5</v>
      </c>
      <c r="Q36" s="67">
        <f>520/2</f>
        <v>260</v>
      </c>
      <c r="R36" s="68">
        <f>595/2</f>
        <v>297.5</v>
      </c>
      <c r="S36" s="67">
        <f>595/2</f>
        <v>297.5</v>
      </c>
      <c r="T36" s="67">
        <f>575/2</f>
        <v>287.5</v>
      </c>
      <c r="U36" s="66">
        <f>214/2</f>
        <v>107</v>
      </c>
      <c r="V36" s="67">
        <f>416/2</f>
        <v>208</v>
      </c>
      <c r="W36" s="67">
        <f>421/2</f>
        <v>210.5</v>
      </c>
      <c r="X36" s="66">
        <f>526/2</f>
        <v>263</v>
      </c>
      <c r="Y36" s="67">
        <f>524/2</f>
        <v>262</v>
      </c>
      <c r="Z36" s="67">
        <f>528/2</f>
        <v>264</v>
      </c>
      <c r="AA36" s="66">
        <f>515/2</f>
        <v>257.5</v>
      </c>
      <c r="AB36" s="67">
        <f>484/2</f>
        <v>242</v>
      </c>
      <c r="AC36" s="66">
        <f>750/2</f>
        <v>375</v>
      </c>
      <c r="AD36" s="67">
        <f>559/2</f>
        <v>279.5</v>
      </c>
      <c r="AE36" s="66">
        <f>739/2</f>
        <v>369.5</v>
      </c>
      <c r="AF36" s="67">
        <f>679/2</f>
        <v>339.5</v>
      </c>
      <c r="AO36">
        <v>104</v>
      </c>
    </row>
    <row r="37" spans="1:41" x14ac:dyDescent="0.3">
      <c r="A37" s="30">
        <v>37</v>
      </c>
      <c r="B37" t="s">
        <v>137</v>
      </c>
      <c r="C37" s="64">
        <v>132.5</v>
      </c>
      <c r="D37" s="65">
        <v>125.5</v>
      </c>
      <c r="E37" s="65">
        <v>145.5</v>
      </c>
      <c r="F37" s="64">
        <v>150</v>
      </c>
      <c r="G37" s="65">
        <v>124</v>
      </c>
      <c r="H37" s="65">
        <v>170</v>
      </c>
      <c r="I37" s="66">
        <v>153</v>
      </c>
      <c r="J37" s="65">
        <v>121.5</v>
      </c>
      <c r="K37" s="65">
        <v>180</v>
      </c>
      <c r="L37" s="66">
        <v>131</v>
      </c>
      <c r="M37" s="67">
        <v>114</v>
      </c>
      <c r="N37" s="67">
        <v>144</v>
      </c>
      <c r="O37" s="68">
        <v>110</v>
      </c>
      <c r="P37" s="67">
        <v>91</v>
      </c>
      <c r="Q37" s="67">
        <v>140</v>
      </c>
      <c r="R37" s="68">
        <v>148</v>
      </c>
      <c r="S37" s="67">
        <v>144</v>
      </c>
      <c r="T37" s="67">
        <v>154</v>
      </c>
      <c r="U37" s="66">
        <v>73</v>
      </c>
      <c r="V37" s="67">
        <v>61</v>
      </c>
      <c r="W37" s="67">
        <v>86</v>
      </c>
      <c r="X37" s="66">
        <v>142</v>
      </c>
      <c r="Y37" s="67">
        <v>123</v>
      </c>
      <c r="Z37" s="67">
        <v>153</v>
      </c>
      <c r="AA37" s="66">
        <v>117</v>
      </c>
      <c r="AB37" s="67">
        <v>128</v>
      </c>
      <c r="AC37" s="66">
        <v>226</v>
      </c>
      <c r="AD37" s="67">
        <v>147</v>
      </c>
      <c r="AE37" s="66">
        <v>231</v>
      </c>
      <c r="AF37" s="67">
        <v>207</v>
      </c>
      <c r="AO37">
        <v>0</v>
      </c>
    </row>
    <row r="38" spans="1:41" x14ac:dyDescent="0.3">
      <c r="A38" s="30">
        <v>38</v>
      </c>
      <c r="B38" t="s">
        <v>138</v>
      </c>
      <c r="C38" s="64">
        <v>184</v>
      </c>
      <c r="D38" s="65">
        <v>175</v>
      </c>
      <c r="E38" s="65">
        <v>200</v>
      </c>
      <c r="F38" s="64">
        <v>193.5</v>
      </c>
      <c r="G38" s="65">
        <v>164.5</v>
      </c>
      <c r="H38" s="65">
        <v>220</v>
      </c>
      <c r="I38" s="66">
        <v>216</v>
      </c>
      <c r="J38" s="65">
        <v>173</v>
      </c>
      <c r="K38" s="65">
        <v>252.5</v>
      </c>
      <c r="L38" s="66">
        <f>328/2</f>
        <v>164</v>
      </c>
      <c r="M38" s="67">
        <f>296/2</f>
        <v>148</v>
      </c>
      <c r="N38" s="67">
        <f>346/2</f>
        <v>173</v>
      </c>
      <c r="O38" s="68">
        <f>164.2/2</f>
        <v>82.1</v>
      </c>
      <c r="P38" s="67">
        <f>153.92/2</f>
        <v>76.959999999999994</v>
      </c>
      <c r="Q38" s="67">
        <f>224/2</f>
        <v>112</v>
      </c>
      <c r="R38" s="68">
        <f>300/2</f>
        <v>150</v>
      </c>
      <c r="S38" s="67">
        <f>290/2</f>
        <v>145</v>
      </c>
      <c r="T38" s="67">
        <f>431/2</f>
        <v>215.5</v>
      </c>
      <c r="U38" s="66">
        <f>170/2</f>
        <v>85</v>
      </c>
      <c r="V38" s="67">
        <f>188/2</f>
        <v>94</v>
      </c>
      <c r="W38" s="67">
        <f>274/2</f>
        <v>137</v>
      </c>
      <c r="X38" s="66">
        <f>298/2</f>
        <v>149</v>
      </c>
      <c r="Y38" s="67">
        <f>344/2</f>
        <v>172</v>
      </c>
      <c r="Z38" s="67">
        <f>409/2</f>
        <v>204.5</v>
      </c>
      <c r="AA38" s="66">
        <f>322/2</f>
        <v>161</v>
      </c>
      <c r="AB38" s="67">
        <f>360/2</f>
        <v>180</v>
      </c>
      <c r="AC38" s="66">
        <f>429/2</f>
        <v>214.5</v>
      </c>
      <c r="AD38" s="67">
        <f>297/2</f>
        <v>148.5</v>
      </c>
      <c r="AE38" s="66">
        <f>567/2</f>
        <v>283.5</v>
      </c>
      <c r="AF38" s="67">
        <f>460/2</f>
        <v>230</v>
      </c>
      <c r="AO38">
        <v>0</v>
      </c>
    </row>
    <row r="39" spans="1:41" ht="33" x14ac:dyDescent="0.3">
      <c r="A39" s="30">
        <v>39</v>
      </c>
      <c r="B39" s="31" t="s">
        <v>158</v>
      </c>
      <c r="C39" s="64">
        <f t="shared" ref="C39:I39" si="6">C35/C36</f>
        <v>0.83274647887323938</v>
      </c>
      <c r="D39" s="65">
        <f t="shared" si="6"/>
        <v>1.399092970521542</v>
      </c>
      <c r="E39" s="65">
        <f t="shared" si="6"/>
        <v>0.8151408450704225</v>
      </c>
      <c r="F39" s="64">
        <f t="shared" si="6"/>
        <v>0.73570324574961365</v>
      </c>
      <c r="G39" s="65">
        <f t="shared" si="6"/>
        <v>0.74188562596599694</v>
      </c>
      <c r="H39" s="65">
        <f t="shared" si="6"/>
        <v>0.73570324574961365</v>
      </c>
      <c r="I39" s="65">
        <f t="shared" si="6"/>
        <v>0.66956521739130437</v>
      </c>
      <c r="J39" s="65">
        <f t="shared" ref="J39:K39" si="7">J35/J36</f>
        <v>0.66427546628407463</v>
      </c>
      <c r="K39" s="65">
        <f t="shared" si="7"/>
        <v>0.67540029112081512</v>
      </c>
      <c r="L39" s="64">
        <f t="shared" ref="L39:M39" si="8">L35/L36</f>
        <v>1.2922077922077921</v>
      </c>
      <c r="M39" s="78">
        <f t="shared" si="8"/>
        <v>0.77666666666666662</v>
      </c>
      <c r="N39" s="78">
        <f t="shared" ref="N39:O39" si="9">N35/N36</f>
        <v>0.77721943048576214</v>
      </c>
      <c r="O39" s="75">
        <f t="shared" si="9"/>
        <v>0.77157360406091369</v>
      </c>
      <c r="P39" s="78">
        <f t="shared" ref="P39:Q39" si="10">P35/P36</f>
        <v>0.82910321489001693</v>
      </c>
      <c r="Q39" s="78">
        <f t="shared" si="10"/>
        <v>0.94230769230769229</v>
      </c>
      <c r="R39" s="75">
        <f t="shared" ref="R39:S39" si="11">R35/R36</f>
        <v>0.7260504201680672</v>
      </c>
      <c r="S39" s="74">
        <f t="shared" si="11"/>
        <v>0.75966386554621845</v>
      </c>
      <c r="T39" s="74">
        <f t="shared" ref="T39:U39" si="12">T35/T36</f>
        <v>0.73043478260869565</v>
      </c>
      <c r="U39" s="64">
        <f t="shared" si="12"/>
        <v>1.5607476635514019</v>
      </c>
      <c r="V39" s="74">
        <f t="shared" ref="V39:W39" si="13">V35/V36</f>
        <v>0.80769230769230771</v>
      </c>
      <c r="W39" s="74">
        <f t="shared" si="13"/>
        <v>0.78384798099762465</v>
      </c>
      <c r="X39" s="64">
        <f t="shared" ref="X39:Y39" si="14">X35/X36</f>
        <v>0.81749049429657794</v>
      </c>
      <c r="Y39" s="74">
        <f t="shared" si="14"/>
        <v>0.80916030534351147</v>
      </c>
      <c r="Z39" s="74">
        <f t="shared" ref="Z39:AA39" si="15">Z35/Z36</f>
        <v>0.80681818181818177</v>
      </c>
      <c r="AA39" s="64">
        <f t="shared" si="15"/>
        <v>0.71844660194174759</v>
      </c>
      <c r="AB39" s="74">
        <f t="shared" ref="AB39:AC39" si="16">AB35/AB36</f>
        <v>0.73553719008264462</v>
      </c>
      <c r="AC39" s="64">
        <f t="shared" si="16"/>
        <v>0.84799999999999998</v>
      </c>
      <c r="AD39" s="74">
        <f t="shared" ref="AD39:AE39" si="17">AD35/AD36</f>
        <v>0.86583184257602863</v>
      </c>
      <c r="AE39" s="64">
        <f t="shared" si="17"/>
        <v>0.79566982408660347</v>
      </c>
      <c r="AF39" s="74">
        <f t="shared" ref="AF39" si="18">AF35/AF36</f>
        <v>0.86892488954344627</v>
      </c>
      <c r="AO39" s="78">
        <f t="shared" ref="AO39" si="19">AO35/AO36</f>
        <v>0.32692307692307693</v>
      </c>
    </row>
    <row r="40" spans="1:41" ht="33" x14ac:dyDescent="0.3">
      <c r="A40" s="30">
        <v>40</v>
      </c>
      <c r="B40" s="31" t="s">
        <v>159</v>
      </c>
      <c r="C40" s="64">
        <f t="shared" ref="C40:I40" si="20">C37/C38</f>
        <v>0.72010869565217395</v>
      </c>
      <c r="D40" s="65">
        <f t="shared" si="20"/>
        <v>0.71714285714285719</v>
      </c>
      <c r="E40" s="65">
        <f t="shared" si="20"/>
        <v>0.72750000000000004</v>
      </c>
      <c r="F40" s="64">
        <f t="shared" si="20"/>
        <v>0.77519379844961245</v>
      </c>
      <c r="G40" s="65">
        <f t="shared" si="20"/>
        <v>0.75379939209726443</v>
      </c>
      <c r="H40" s="65">
        <f t="shared" si="20"/>
        <v>0.77272727272727271</v>
      </c>
      <c r="I40" s="65">
        <f t="shared" si="20"/>
        <v>0.70833333333333337</v>
      </c>
      <c r="J40" s="65">
        <f t="shared" ref="J40:K40" si="21">J37/J38</f>
        <v>0.70231213872832365</v>
      </c>
      <c r="K40" s="65">
        <f t="shared" si="21"/>
        <v>0.71287128712871284</v>
      </c>
      <c r="L40" s="64">
        <f t="shared" ref="L40:M40" si="22">L37/L38</f>
        <v>0.79878048780487809</v>
      </c>
      <c r="M40" s="78">
        <f t="shared" si="22"/>
        <v>0.77027027027027029</v>
      </c>
      <c r="N40" s="78">
        <f t="shared" ref="N40:O40" si="23">N37/N38</f>
        <v>0.83236994219653182</v>
      </c>
      <c r="O40" s="75">
        <f t="shared" si="23"/>
        <v>1.3398294762484775</v>
      </c>
      <c r="P40" s="78">
        <f t="shared" ref="P40:Q40" si="24">P37/P38</f>
        <v>1.1824324324324325</v>
      </c>
      <c r="Q40" s="78">
        <f t="shared" si="24"/>
        <v>1.25</v>
      </c>
      <c r="R40" s="75">
        <f t="shared" ref="R40:S40" si="25">R37/R38</f>
        <v>0.98666666666666669</v>
      </c>
      <c r="S40" s="74">
        <f t="shared" si="25"/>
        <v>0.99310344827586206</v>
      </c>
      <c r="T40" s="74">
        <f t="shared" ref="T40:U40" si="26">T37/T38</f>
        <v>0.71461716937354991</v>
      </c>
      <c r="U40" s="64">
        <f t="shared" si="26"/>
        <v>0.85882352941176465</v>
      </c>
      <c r="V40" s="74">
        <f t="shared" ref="V40:W40" si="27">V37/V38</f>
        <v>0.64893617021276595</v>
      </c>
      <c r="W40" s="74">
        <f t="shared" si="27"/>
        <v>0.62773722627737227</v>
      </c>
      <c r="X40" s="64">
        <f t="shared" ref="X40:Y40" si="28">X37/X38</f>
        <v>0.95302013422818788</v>
      </c>
      <c r="Y40" s="74">
        <f t="shared" si="28"/>
        <v>0.71511627906976749</v>
      </c>
      <c r="Z40" s="74">
        <f t="shared" ref="Z40:AA40" si="29">Z37/Z38</f>
        <v>0.74816625916870416</v>
      </c>
      <c r="AA40" s="64">
        <f t="shared" si="29"/>
        <v>0.72670807453416153</v>
      </c>
      <c r="AB40" s="74">
        <f t="shared" ref="AB40:AC40" si="30">AB37/AB38</f>
        <v>0.71111111111111114</v>
      </c>
      <c r="AC40" s="64">
        <f t="shared" si="30"/>
        <v>1.0536130536130537</v>
      </c>
      <c r="AD40" s="74">
        <f t="shared" ref="AD40:AE40" si="31">AD37/AD38</f>
        <v>0.98989898989898994</v>
      </c>
      <c r="AE40" s="64">
        <f t="shared" si="31"/>
        <v>0.81481481481481477</v>
      </c>
      <c r="AF40" s="74">
        <f t="shared" ref="AF40" si="32">AF37/AF38</f>
        <v>0.9</v>
      </c>
      <c r="AO40" t="s">
        <v>714</v>
      </c>
    </row>
    <row r="41" spans="1:41" ht="33" x14ac:dyDescent="0.3">
      <c r="A41" s="30">
        <v>41</v>
      </c>
      <c r="B41" s="31" t="s">
        <v>160</v>
      </c>
      <c r="C41" s="64">
        <f t="shared" ref="C41:N41" si="33">C39/C40</f>
        <v>1.1564177517937815</v>
      </c>
      <c r="D41" s="65">
        <f t="shared" si="33"/>
        <v>1.9509264529184847</v>
      </c>
      <c r="E41" s="65">
        <f t="shared" si="33"/>
        <v>1.1204685155607181</v>
      </c>
      <c r="F41" s="64">
        <f t="shared" si="33"/>
        <v>0.94905718701700159</v>
      </c>
      <c r="G41" s="65">
        <f t="shared" si="33"/>
        <v>0.98419504412424597</v>
      </c>
      <c r="H41" s="65">
        <f t="shared" si="33"/>
        <v>0.95208655332302949</v>
      </c>
      <c r="I41" s="65">
        <f t="shared" si="33"/>
        <v>0.94526854219948842</v>
      </c>
      <c r="J41" s="65">
        <f t="shared" si="33"/>
        <v>0.94584078738390875</v>
      </c>
      <c r="K41" s="65">
        <f t="shared" si="33"/>
        <v>0.94743651948892127</v>
      </c>
      <c r="L41" s="64">
        <f t="shared" si="33"/>
        <v>1.6177257856647167</v>
      </c>
      <c r="M41" s="78">
        <f t="shared" si="33"/>
        <v>1.0083040935672514</v>
      </c>
      <c r="N41" s="78">
        <f t="shared" si="33"/>
        <v>0.93374278801414479</v>
      </c>
      <c r="O41" s="75">
        <f t="shared" ref="O41:P41" si="34">O39/O40</f>
        <v>0.57587448084910009</v>
      </c>
      <c r="P41" s="78">
        <f t="shared" si="34"/>
        <v>0.7011844331641286</v>
      </c>
      <c r="Q41" s="78">
        <f t="shared" ref="Q41:R41" si="35">Q39/Q40</f>
        <v>0.75384615384615383</v>
      </c>
      <c r="R41" s="75">
        <f t="shared" si="35"/>
        <v>0.73586191233250053</v>
      </c>
      <c r="S41" s="74">
        <f t="shared" ref="S41:T41" si="36">S39/S40</f>
        <v>0.76493930905695606</v>
      </c>
      <c r="T41" s="74">
        <f t="shared" si="36"/>
        <v>1.0221343873517785</v>
      </c>
      <c r="U41" s="64">
        <f t="shared" ref="U41:V41" si="37">U39/U40</f>
        <v>1.8173089233132764</v>
      </c>
      <c r="V41" s="74">
        <f t="shared" si="37"/>
        <v>1.244640605296343</v>
      </c>
      <c r="W41" s="74">
        <f t="shared" ref="W41:X41" si="38">W39/W40</f>
        <v>1.24868806275203</v>
      </c>
      <c r="X41" s="64">
        <f t="shared" si="38"/>
        <v>0.85778932148021214</v>
      </c>
      <c r="Y41" s="74">
        <f t="shared" ref="Y41:Z41" si="39">Y39/Y40</f>
        <v>1.1315087196673492</v>
      </c>
      <c r="Z41" s="74">
        <f t="shared" si="39"/>
        <v>1.0783942364824717</v>
      </c>
      <c r="AA41" s="64">
        <f t="shared" ref="AA41:AB41" si="40">AA39/AA40</f>
        <v>0.98863164882582355</v>
      </c>
      <c r="AB41" s="74">
        <f t="shared" si="40"/>
        <v>1.0343491735537189</v>
      </c>
      <c r="AC41" s="64">
        <f t="shared" ref="AC41:AD41" si="41">AC39/AC40</f>
        <v>0.80484955752212384</v>
      </c>
      <c r="AD41" s="74">
        <f t="shared" si="41"/>
        <v>0.87466686137782479</v>
      </c>
      <c r="AE41" s="64">
        <f t="shared" ref="AE41:AF41" si="42">AE39/AE40</f>
        <v>0.97650387501537705</v>
      </c>
      <c r="AF41" s="74">
        <f t="shared" si="42"/>
        <v>0.96547209949271806</v>
      </c>
      <c r="AO41" t="s">
        <v>714</v>
      </c>
    </row>
    <row r="42" spans="1:41" x14ac:dyDescent="0.3">
      <c r="A42" s="30">
        <v>42</v>
      </c>
    </row>
    <row r="43" spans="1:41" x14ac:dyDescent="0.3">
      <c r="A43" s="30">
        <v>43</v>
      </c>
      <c r="B43" t="s">
        <v>178</v>
      </c>
      <c r="C43" s="64">
        <v>91.3</v>
      </c>
      <c r="D43" s="65">
        <v>115.9</v>
      </c>
      <c r="E43" s="65">
        <v>61.3</v>
      </c>
      <c r="F43" s="64">
        <v>88</v>
      </c>
      <c r="G43" s="65">
        <v>111</v>
      </c>
      <c r="H43" s="65">
        <v>67.5</v>
      </c>
      <c r="I43" s="66">
        <v>99.3</v>
      </c>
      <c r="J43" s="65">
        <v>127</v>
      </c>
      <c r="K43" s="65">
        <v>68.400000000000006</v>
      </c>
      <c r="L43" s="66">
        <v>107.3</v>
      </c>
      <c r="M43" s="67">
        <v>126.5</v>
      </c>
      <c r="N43" s="67">
        <v>98</v>
      </c>
      <c r="O43" s="68">
        <v>143.68</v>
      </c>
      <c r="P43" s="67">
        <v>156.19999999999999</v>
      </c>
      <c r="Q43" s="67">
        <v>71.2</v>
      </c>
      <c r="R43" s="68">
        <v>82</v>
      </c>
      <c r="S43" s="67">
        <v>92</v>
      </c>
      <c r="T43" s="67">
        <v>72</v>
      </c>
      <c r="U43" s="66">
        <v>74.5</v>
      </c>
      <c r="V43" s="67">
        <v>87.1</v>
      </c>
      <c r="W43" s="67">
        <v>56</v>
      </c>
      <c r="X43" s="66">
        <v>75</v>
      </c>
      <c r="Y43" s="67">
        <v>95</v>
      </c>
      <c r="Z43" s="67">
        <v>66.900000000000006</v>
      </c>
      <c r="AA43" s="66">
        <v>96.3</v>
      </c>
      <c r="AB43" s="67">
        <v>65</v>
      </c>
      <c r="AC43" s="66">
        <v>59.6</v>
      </c>
      <c r="AD43" s="67">
        <v>92.6</v>
      </c>
      <c r="AE43" s="66">
        <v>65.900000000000006</v>
      </c>
      <c r="AF43" s="67">
        <v>109</v>
      </c>
      <c r="AO43">
        <v>109</v>
      </c>
    </row>
    <row r="44" spans="1:41" x14ac:dyDescent="0.3">
      <c r="A44" s="30">
        <v>44</v>
      </c>
      <c r="B44" t="s">
        <v>139</v>
      </c>
      <c r="C44" s="64">
        <v>33.200000000000003</v>
      </c>
      <c r="D44" s="65">
        <v>52.4</v>
      </c>
      <c r="E44" s="74">
        <v>28.3</v>
      </c>
      <c r="F44" s="64">
        <v>89.2</v>
      </c>
      <c r="G44" s="65">
        <v>112.5</v>
      </c>
      <c r="H44" s="65">
        <v>69.3</v>
      </c>
      <c r="I44" s="66">
        <v>42</v>
      </c>
      <c r="J44" s="65">
        <v>69.099999999999994</v>
      </c>
      <c r="K44" s="65">
        <v>21.9</v>
      </c>
      <c r="L44" s="66">
        <v>54.7</v>
      </c>
      <c r="M44" s="67">
        <v>69.3</v>
      </c>
      <c r="N44" s="67">
        <v>44</v>
      </c>
      <c r="O44" s="68">
        <v>103.6</v>
      </c>
      <c r="P44" s="67">
        <v>113.9</v>
      </c>
      <c r="Q44" s="67">
        <v>57.3</v>
      </c>
      <c r="R44" s="68">
        <v>73.599999999999994</v>
      </c>
      <c r="S44" s="67">
        <v>88</v>
      </c>
      <c r="T44" s="67">
        <v>66</v>
      </c>
      <c r="U44" s="66">
        <v>36.700000000000003</v>
      </c>
      <c r="V44" s="67">
        <v>52.3</v>
      </c>
      <c r="W44" s="67">
        <v>16.07</v>
      </c>
      <c r="X44" s="66">
        <v>25.6</v>
      </c>
      <c r="Y44" s="67">
        <v>47.8</v>
      </c>
      <c r="Z44" s="67">
        <v>27.3</v>
      </c>
      <c r="AA44" s="66">
        <v>77.400000000000006</v>
      </c>
      <c r="AB44" s="67">
        <v>54.1</v>
      </c>
      <c r="AC44" s="66">
        <v>13.4</v>
      </c>
      <c r="AD44" s="67">
        <v>25</v>
      </c>
      <c r="AE44" s="66">
        <v>65.2</v>
      </c>
      <c r="AF44" s="67">
        <v>88.4</v>
      </c>
      <c r="AO44">
        <v>56</v>
      </c>
    </row>
    <row r="45" spans="1:41" x14ac:dyDescent="0.3">
      <c r="A45" s="30">
        <v>45</v>
      </c>
      <c r="B45" t="s">
        <v>140</v>
      </c>
      <c r="C45" s="64">
        <v>67.8</v>
      </c>
      <c r="D45" s="65">
        <v>88.4</v>
      </c>
      <c r="E45" s="74">
        <v>51.2</v>
      </c>
      <c r="F45" s="64">
        <v>88</v>
      </c>
      <c r="G45" s="65">
        <v>111</v>
      </c>
      <c r="H45" s="65">
        <v>68.5</v>
      </c>
      <c r="I45" s="66">
        <v>80.599999999999994</v>
      </c>
      <c r="J45" s="65">
        <v>110.7</v>
      </c>
      <c r="K45" s="65">
        <v>43.8</v>
      </c>
      <c r="L45" s="66">
        <v>89.8</v>
      </c>
      <c r="M45" s="67">
        <v>106</v>
      </c>
      <c r="N45" s="67">
        <v>62</v>
      </c>
      <c r="O45" s="68">
        <v>145.5</v>
      </c>
      <c r="P45" s="67">
        <v>154</v>
      </c>
      <c r="Q45" s="67">
        <v>69.2</v>
      </c>
      <c r="R45" s="68">
        <v>77.3</v>
      </c>
      <c r="S45" s="67">
        <v>85.7</v>
      </c>
      <c r="T45" s="67">
        <v>65</v>
      </c>
      <c r="U45" s="66">
        <v>65.3</v>
      </c>
      <c r="V45" s="67">
        <v>79.5</v>
      </c>
      <c r="W45" s="67">
        <v>47.8</v>
      </c>
      <c r="X45" s="66">
        <v>55.9</v>
      </c>
      <c r="Y45" s="67">
        <v>73.900000000000006</v>
      </c>
      <c r="Z45" s="67">
        <v>44.3</v>
      </c>
      <c r="AA45" s="66">
        <v>79.099999999999994</v>
      </c>
      <c r="AB45" s="67">
        <v>54.3</v>
      </c>
      <c r="AC45" s="66">
        <v>46.4</v>
      </c>
      <c r="AD45" s="67">
        <v>70.900000000000006</v>
      </c>
      <c r="AE45" s="66">
        <v>64.7</v>
      </c>
      <c r="AF45" s="67">
        <v>79</v>
      </c>
      <c r="AO45">
        <v>81</v>
      </c>
    </row>
    <row r="46" spans="1:41" x14ac:dyDescent="0.3">
      <c r="A46" s="30">
        <v>46</v>
      </c>
      <c r="B46" s="30"/>
      <c r="E46" s="74"/>
      <c r="F46" s="64">
        <v>0</v>
      </c>
      <c r="G46" s="65">
        <v>0</v>
      </c>
      <c r="H46" s="65">
        <v>0</v>
      </c>
      <c r="O46" s="68">
        <v>0</v>
      </c>
      <c r="P46" s="67">
        <v>0</v>
      </c>
      <c r="Q46" s="67">
        <v>0</v>
      </c>
    </row>
    <row r="47" spans="1:41" x14ac:dyDescent="0.3">
      <c r="A47" s="30">
        <v>47</v>
      </c>
      <c r="B47" t="s">
        <v>141</v>
      </c>
      <c r="E47" s="74"/>
    </row>
    <row r="48" spans="1:41" x14ac:dyDescent="0.3">
      <c r="A48" s="30">
        <v>48</v>
      </c>
      <c r="B48" t="s">
        <v>142</v>
      </c>
      <c r="E48" s="74"/>
    </row>
    <row r="49" spans="1:41" x14ac:dyDescent="0.3">
      <c r="A49" s="30">
        <v>49</v>
      </c>
      <c r="B49" t="s">
        <v>143</v>
      </c>
    </row>
    <row r="50" spans="1:41" x14ac:dyDescent="0.3">
      <c r="A50" s="30">
        <v>50</v>
      </c>
      <c r="B50" t="s">
        <v>183</v>
      </c>
    </row>
    <row r="51" spans="1:41" x14ac:dyDescent="0.3">
      <c r="A51" s="30">
        <v>51</v>
      </c>
      <c r="E51" s="74"/>
      <c r="F51" s="74"/>
    </row>
    <row r="52" spans="1:41" x14ac:dyDescent="0.3">
      <c r="A52" s="30">
        <v>52</v>
      </c>
      <c r="B52" t="s">
        <v>179</v>
      </c>
      <c r="C52" s="64">
        <v>879</v>
      </c>
      <c r="D52" s="65">
        <v>892</v>
      </c>
      <c r="E52" s="74">
        <v>835</v>
      </c>
      <c r="F52" s="64">
        <v>891</v>
      </c>
      <c r="G52" s="65">
        <v>887</v>
      </c>
      <c r="H52" s="65">
        <v>893</v>
      </c>
      <c r="I52" s="66">
        <v>938</v>
      </c>
      <c r="J52" s="65">
        <v>934</v>
      </c>
      <c r="K52" s="65">
        <v>934</v>
      </c>
      <c r="L52" s="66">
        <f>750+128</f>
        <v>878</v>
      </c>
      <c r="M52" s="67">
        <f>746+132</f>
        <v>878</v>
      </c>
      <c r="N52" s="67">
        <f>749+127</f>
        <v>876</v>
      </c>
      <c r="O52" s="68">
        <f>660+168</f>
        <v>828</v>
      </c>
      <c r="P52" s="67">
        <f>731+167</f>
        <v>898</v>
      </c>
      <c r="Q52" s="67">
        <f>660+168</f>
        <v>828</v>
      </c>
      <c r="R52" s="68">
        <f>745+127</f>
        <v>872</v>
      </c>
      <c r="S52" s="67">
        <f>746+126</f>
        <v>872</v>
      </c>
      <c r="T52" s="67">
        <f>746+126</f>
        <v>872</v>
      </c>
      <c r="U52" s="66">
        <f>769-109</f>
        <v>660</v>
      </c>
      <c r="V52" s="67">
        <f>769-109</f>
        <v>660</v>
      </c>
      <c r="W52" s="67">
        <f>769-109</f>
        <v>660</v>
      </c>
      <c r="X52" s="66">
        <f>100+747</f>
        <v>847</v>
      </c>
      <c r="Y52" s="67">
        <f>744+99</f>
        <v>843</v>
      </c>
      <c r="Z52" s="67">
        <f>748+99</f>
        <v>847</v>
      </c>
      <c r="AA52" s="66">
        <f>778+169</f>
        <v>947</v>
      </c>
      <c r="AB52" s="67">
        <f>768+155</f>
        <v>923</v>
      </c>
      <c r="AC52" s="66">
        <f>769+169</f>
        <v>938</v>
      </c>
      <c r="AD52" s="67">
        <f>787+187</f>
        <v>974</v>
      </c>
      <c r="AE52" s="66">
        <f>738+127</f>
        <v>865</v>
      </c>
      <c r="AF52" s="67">
        <f>750+150</f>
        <v>900</v>
      </c>
      <c r="AG52" s="148">
        <f>738+119</f>
        <v>857</v>
      </c>
      <c r="AH52">
        <f>786+127</f>
        <v>913</v>
      </c>
      <c r="AI52" s="148">
        <f>782+132</f>
        <v>914</v>
      </c>
      <c r="AJ52">
        <f>791+143</f>
        <v>934</v>
      </c>
      <c r="AK52" s="148">
        <f>848+111</f>
        <v>959</v>
      </c>
      <c r="AL52">
        <f>851+116</f>
        <v>967</v>
      </c>
      <c r="AM52" s="148">
        <f>768+133</f>
        <v>901</v>
      </c>
      <c r="AN52">
        <f>770+143</f>
        <v>913</v>
      </c>
      <c r="AO52">
        <v>865</v>
      </c>
    </row>
    <row r="53" spans="1:41" x14ac:dyDescent="0.3">
      <c r="A53" s="30">
        <v>53</v>
      </c>
      <c r="B53" t="s">
        <v>180</v>
      </c>
      <c r="C53" s="64">
        <v>885</v>
      </c>
      <c r="D53" s="65">
        <v>890</v>
      </c>
      <c r="E53" s="74">
        <v>851</v>
      </c>
      <c r="F53" s="64">
        <v>890</v>
      </c>
      <c r="G53" s="65">
        <v>891</v>
      </c>
      <c r="H53" s="65">
        <v>890</v>
      </c>
      <c r="I53" s="66">
        <v>940</v>
      </c>
      <c r="J53" s="65">
        <v>940</v>
      </c>
      <c r="K53" s="65">
        <v>940</v>
      </c>
      <c r="L53" s="66">
        <f>751+151</f>
        <v>902</v>
      </c>
      <c r="M53" s="67">
        <f>748+155</f>
        <v>903</v>
      </c>
      <c r="N53" s="67">
        <f>749+150</f>
        <v>899</v>
      </c>
      <c r="O53" s="68">
        <f>652+105</f>
        <v>757</v>
      </c>
      <c r="P53" s="67">
        <f>651+47</f>
        <v>698</v>
      </c>
      <c r="Q53" s="67">
        <f>652+100</f>
        <v>752</v>
      </c>
      <c r="R53" s="68">
        <f>745+145</f>
        <v>890</v>
      </c>
      <c r="S53" s="67">
        <f>745+145</f>
        <v>890</v>
      </c>
      <c r="T53" s="67">
        <f>745+145</f>
        <v>890</v>
      </c>
      <c r="U53" s="66">
        <f>654-202</f>
        <v>452</v>
      </c>
      <c r="V53" s="67">
        <f>654-239</f>
        <v>415</v>
      </c>
      <c r="W53" s="67">
        <f>653-242</f>
        <v>411</v>
      </c>
      <c r="X53" s="66">
        <f>145+746</f>
        <v>891</v>
      </c>
      <c r="Y53" s="67">
        <f>745+145</f>
        <v>890</v>
      </c>
      <c r="Z53" s="67">
        <f>746+142</f>
        <v>888</v>
      </c>
      <c r="AA53" s="66">
        <f>778+179</f>
        <v>957</v>
      </c>
      <c r="AB53" s="67">
        <f>768+170</f>
        <v>938</v>
      </c>
      <c r="AC53" s="66">
        <f>769+166</f>
        <v>935</v>
      </c>
      <c r="AD53" s="67">
        <f>186+788</f>
        <v>974</v>
      </c>
      <c r="AE53" s="66">
        <f>738+138</f>
        <v>876</v>
      </c>
      <c r="AF53" s="67">
        <f>750+150</f>
        <v>900</v>
      </c>
      <c r="AG53" s="148">
        <f>780+133</f>
        <v>913</v>
      </c>
      <c r="AH53">
        <f>786+141</f>
        <v>927</v>
      </c>
      <c r="AI53" s="148">
        <f>782+140</f>
        <v>922</v>
      </c>
      <c r="AJ53">
        <f>158+791</f>
        <v>949</v>
      </c>
      <c r="AK53" s="148">
        <f>848+120</f>
        <v>968</v>
      </c>
      <c r="AL53">
        <f>851+125</f>
        <v>976</v>
      </c>
      <c r="AM53" s="148">
        <f>768+128</f>
        <v>896</v>
      </c>
      <c r="AN53">
        <f>770+139</f>
        <v>909</v>
      </c>
      <c r="AO53">
        <v>717</v>
      </c>
    </row>
    <row r="54" spans="1:41" x14ac:dyDescent="0.3">
      <c r="A54" s="86">
        <v>54</v>
      </c>
      <c r="B54" s="87" t="s">
        <v>304</v>
      </c>
      <c r="E54" s="74"/>
      <c r="F54" s="64">
        <v>0</v>
      </c>
      <c r="G54" s="65">
        <v>0</v>
      </c>
      <c r="H54" s="65">
        <v>0</v>
      </c>
      <c r="O54" s="68">
        <v>0</v>
      </c>
      <c r="P54" s="67">
        <v>0</v>
      </c>
      <c r="Q54" s="67">
        <v>0</v>
      </c>
      <c r="AE54" s="66">
        <f>491-481</f>
        <v>10</v>
      </c>
      <c r="AF54" s="67">
        <f>527-517</f>
        <v>10</v>
      </c>
    </row>
    <row r="55" spans="1:41" x14ac:dyDescent="0.3">
      <c r="E55" s="74"/>
    </row>
    <row r="56" spans="1:41" x14ac:dyDescent="0.3">
      <c r="A56" s="30" t="s">
        <v>483</v>
      </c>
      <c r="C56" s="64">
        <f>C25/C52</f>
        <v>0.94766780432309439</v>
      </c>
      <c r="D56" s="74">
        <f t="shared" ref="D56:AF56" si="43">D25/D52</f>
        <v>0.93273542600896864</v>
      </c>
      <c r="E56" s="74">
        <f t="shared" si="43"/>
        <v>0.99640718562874253</v>
      </c>
      <c r="F56" s="64">
        <f t="shared" si="43"/>
        <v>0.87878787878787878</v>
      </c>
      <c r="G56" s="74">
        <f t="shared" si="43"/>
        <v>0.90529875986471253</v>
      </c>
      <c r="H56" s="74">
        <f t="shared" si="43"/>
        <v>0.83090705487122063</v>
      </c>
      <c r="I56" s="64">
        <f t="shared" si="43"/>
        <v>0.93070362473347545</v>
      </c>
      <c r="J56" s="74">
        <f t="shared" si="43"/>
        <v>0.93361884368308357</v>
      </c>
      <c r="K56" s="74">
        <f t="shared" si="43"/>
        <v>0.93468950749464663</v>
      </c>
      <c r="L56" s="64">
        <f t="shared" si="43"/>
        <v>1.0079726651480638</v>
      </c>
      <c r="M56" s="74">
        <f t="shared" si="43"/>
        <v>1.029612756264237</v>
      </c>
      <c r="N56" s="74">
        <f t="shared" si="43"/>
        <v>1</v>
      </c>
      <c r="O56" s="64">
        <f t="shared" si="43"/>
        <v>1.0410628019323671</v>
      </c>
      <c r="P56" s="74">
        <f t="shared" si="43"/>
        <v>0.9376391982182628</v>
      </c>
      <c r="Q56" s="74">
        <f t="shared" si="43"/>
        <v>1.001207729468599</v>
      </c>
      <c r="R56" s="64">
        <f t="shared" si="43"/>
        <v>0.95756880733944949</v>
      </c>
      <c r="S56" s="74">
        <f t="shared" si="43"/>
        <v>0.95756880733944949</v>
      </c>
      <c r="T56" s="74">
        <f t="shared" si="43"/>
        <v>0.95756880733944949</v>
      </c>
      <c r="U56" s="64">
        <f t="shared" si="43"/>
        <v>0.90757575757575759</v>
      </c>
      <c r="V56" s="74">
        <f t="shared" si="43"/>
        <v>0.89242424242424245</v>
      </c>
      <c r="W56" s="74">
        <f t="shared" si="43"/>
        <v>0.89393939393939392</v>
      </c>
      <c r="X56" s="64">
        <f t="shared" si="43"/>
        <v>0.98701298701298701</v>
      </c>
      <c r="Y56" s="74">
        <f t="shared" si="43"/>
        <v>0.99169632265717678</v>
      </c>
      <c r="Z56" s="74">
        <f t="shared" si="43"/>
        <v>0.98465171192443923</v>
      </c>
      <c r="AA56" s="64">
        <f t="shared" si="43"/>
        <v>0.95248152059134106</v>
      </c>
      <c r="AB56" s="74">
        <f t="shared" si="43"/>
        <v>0.91007583965330441</v>
      </c>
      <c r="AC56" s="64">
        <f t="shared" si="43"/>
        <v>0.94029850746268662</v>
      </c>
      <c r="AD56" s="74">
        <f t="shared" si="43"/>
        <v>0.91478439425051339</v>
      </c>
      <c r="AE56" s="64">
        <f t="shared" si="43"/>
        <v>0.95838150289017343</v>
      </c>
      <c r="AF56" s="74">
        <f t="shared" si="43"/>
        <v>0.97555555555555551</v>
      </c>
      <c r="AG56" s="64">
        <f t="shared" ref="AG56:AH56" si="44">AG25/AG52</f>
        <v>0.95799299883313882</v>
      </c>
      <c r="AH56" s="74">
        <f t="shared" si="44"/>
        <v>0.90909090909090906</v>
      </c>
      <c r="AI56" s="64">
        <f t="shared" ref="AI56:AJ56" si="45">AI25/AI52</f>
        <v>0.89387308533916854</v>
      </c>
      <c r="AJ56" s="74">
        <f t="shared" si="45"/>
        <v>0.89186295503211988</v>
      </c>
      <c r="AK56" s="64">
        <f t="shared" ref="AK56:AL56" si="46">AK25/AK52</f>
        <v>0.96350364963503654</v>
      </c>
      <c r="AL56" s="74">
        <f t="shared" si="46"/>
        <v>0.96794208893485001</v>
      </c>
      <c r="AM56" s="64">
        <f t="shared" ref="AM56:AN56" si="47">AM25/AM52</f>
        <v>0.8057713651498335</v>
      </c>
      <c r="AN56" s="74">
        <f t="shared" si="47"/>
        <v>0.80668127053669225</v>
      </c>
      <c r="AO56" s="74">
        <f t="shared" ref="AO56" si="48">AO25/AO52</f>
        <v>0.72138728323699419</v>
      </c>
    </row>
    <row r="57" spans="1:41" x14ac:dyDescent="0.3">
      <c r="C57" s="64">
        <f>C25/C53</f>
        <v>0.94124293785310731</v>
      </c>
      <c r="D57" s="74">
        <f t="shared" ref="D57:AF57" si="49">D25/D53</f>
        <v>0.93483146067415734</v>
      </c>
      <c r="E57" s="74">
        <f t="shared" si="49"/>
        <v>0.97767332549941244</v>
      </c>
      <c r="F57" s="64">
        <f t="shared" si="49"/>
        <v>0.87977528089887636</v>
      </c>
      <c r="G57" s="74">
        <f t="shared" si="49"/>
        <v>0.90123456790123457</v>
      </c>
      <c r="H57" s="74">
        <f t="shared" si="49"/>
        <v>0.83370786516853934</v>
      </c>
      <c r="I57" s="64">
        <f t="shared" si="49"/>
        <v>0.92872340425531918</v>
      </c>
      <c r="J57" s="74">
        <f t="shared" si="49"/>
        <v>0.92765957446808511</v>
      </c>
      <c r="K57" s="74">
        <f t="shared" si="49"/>
        <v>0.92872340425531918</v>
      </c>
      <c r="L57" s="64">
        <f t="shared" si="49"/>
        <v>0.98115299334811534</v>
      </c>
      <c r="M57" s="74">
        <f t="shared" si="49"/>
        <v>1.0011074197120708</v>
      </c>
      <c r="N57" s="74">
        <f t="shared" si="49"/>
        <v>0.97441601779755282</v>
      </c>
      <c r="O57" s="64">
        <f t="shared" si="49"/>
        <v>1.1387054161162484</v>
      </c>
      <c r="P57" s="74">
        <f t="shared" si="49"/>
        <v>1.2063037249283668</v>
      </c>
      <c r="Q57" s="74">
        <f t="shared" si="49"/>
        <v>1.1023936170212767</v>
      </c>
      <c r="R57" s="64">
        <f t="shared" si="49"/>
        <v>0.9382022471910112</v>
      </c>
      <c r="S57" s="74">
        <f t="shared" si="49"/>
        <v>0.9382022471910112</v>
      </c>
      <c r="T57" s="74">
        <f t="shared" si="49"/>
        <v>0.9382022471910112</v>
      </c>
      <c r="U57" s="64">
        <f t="shared" si="49"/>
        <v>1.3252212389380531</v>
      </c>
      <c r="V57" s="74">
        <f t="shared" si="49"/>
        <v>1.419277108433735</v>
      </c>
      <c r="W57" s="74">
        <f t="shared" si="49"/>
        <v>1.4355231143552312</v>
      </c>
      <c r="X57" s="64">
        <f t="shared" si="49"/>
        <v>0.93827160493827155</v>
      </c>
      <c r="Y57" s="74">
        <f t="shared" si="49"/>
        <v>0.93932584269662922</v>
      </c>
      <c r="Z57" s="74">
        <f t="shared" si="49"/>
        <v>0.93918918918918914</v>
      </c>
      <c r="AA57" s="64">
        <f t="shared" si="49"/>
        <v>0.94252873563218387</v>
      </c>
      <c r="AB57" s="74">
        <f t="shared" si="49"/>
        <v>0.89552238805970152</v>
      </c>
      <c r="AC57" s="64">
        <f t="shared" si="49"/>
        <v>0.94331550802139041</v>
      </c>
      <c r="AD57" s="74">
        <f t="shared" si="49"/>
        <v>0.91478439425051339</v>
      </c>
      <c r="AE57" s="64">
        <f t="shared" si="49"/>
        <v>0.94634703196347036</v>
      </c>
      <c r="AF57" s="74">
        <f t="shared" si="49"/>
        <v>0.97555555555555551</v>
      </c>
      <c r="AG57" s="64">
        <f t="shared" ref="AG57:AH57" si="50">AG25/AG53</f>
        <v>0.89923329682365827</v>
      </c>
      <c r="AH57" s="74">
        <f t="shared" si="50"/>
        <v>0.89536138079827399</v>
      </c>
      <c r="AI57" s="64">
        <f t="shared" ref="AI57:AJ57" si="51">AI25/AI53</f>
        <v>0.88611713665943603</v>
      </c>
      <c r="AJ57" s="74">
        <f t="shared" si="51"/>
        <v>0.87776606954689151</v>
      </c>
      <c r="AK57" s="64">
        <f t="shared" ref="AK57:AL57" si="52">AK25/AK53</f>
        <v>0.95454545454545459</v>
      </c>
      <c r="AL57" s="74">
        <f t="shared" si="52"/>
        <v>0.95901639344262291</v>
      </c>
      <c r="AM57" s="64">
        <f t="shared" ref="AM57:AN57" si="53">AM25/AM53</f>
        <v>0.8102678571428571</v>
      </c>
      <c r="AN57" s="74">
        <f t="shared" si="53"/>
        <v>0.81023102310231021</v>
      </c>
      <c r="AO57" s="74">
        <f t="shared" ref="AO57" si="54">AO25/AO53</f>
        <v>0.87029288702928875</v>
      </c>
    </row>
    <row r="58" spans="1:41" x14ac:dyDescent="0.3">
      <c r="C58" s="64">
        <f>C30/C6</f>
        <v>0.79438202247191014</v>
      </c>
      <c r="D58" s="74">
        <f t="shared" ref="D58:AG58" si="55">D30/D6</f>
        <v>0.81884464385866518</v>
      </c>
      <c r="E58" s="74">
        <f t="shared" si="55"/>
        <v>0.7752808988764045</v>
      </c>
      <c r="F58" s="64">
        <f t="shared" si="55"/>
        <v>0.78539325842696628</v>
      </c>
      <c r="G58" s="74">
        <f t="shared" si="55"/>
        <v>0.78177727784026996</v>
      </c>
      <c r="H58" s="74">
        <f t="shared" si="55"/>
        <v>0.76853932584269657</v>
      </c>
      <c r="I58" s="64">
        <f t="shared" si="55"/>
        <v>0.77127659574468088</v>
      </c>
      <c r="J58" s="74">
        <f t="shared" si="55"/>
        <v>0.77340425531914891</v>
      </c>
      <c r="K58" s="74">
        <f t="shared" si="55"/>
        <v>0.76914893617021274</v>
      </c>
      <c r="L58" s="64">
        <f t="shared" si="55"/>
        <v>0.75083426028921019</v>
      </c>
      <c r="M58" s="74">
        <f t="shared" si="55"/>
        <v>0.76829268292682928</v>
      </c>
      <c r="N58" s="74">
        <f t="shared" si="55"/>
        <v>0.74638487208008897</v>
      </c>
      <c r="O58" s="64">
        <f t="shared" si="55"/>
        <v>1.2507836990595611</v>
      </c>
      <c r="P58" s="74">
        <f t="shared" si="55"/>
        <v>1.1959876543209877</v>
      </c>
      <c r="Q58" s="74">
        <f t="shared" si="55"/>
        <v>1.0681502086230876</v>
      </c>
      <c r="R58" s="64">
        <f t="shared" si="55"/>
        <v>0.77613636363636362</v>
      </c>
      <c r="S58" s="74">
        <f t="shared" si="55"/>
        <v>0.76655443322109984</v>
      </c>
      <c r="T58" s="74">
        <f t="shared" si="55"/>
        <v>0.87471264367816093</v>
      </c>
      <c r="U58" s="64">
        <f t="shared" si="55"/>
        <v>1.3024390243902439</v>
      </c>
      <c r="V58" s="74">
        <f t="shared" si="55"/>
        <v>1.2895377128953771</v>
      </c>
      <c r="W58" s="74">
        <f t="shared" si="55"/>
        <v>1.2829268292682927</v>
      </c>
      <c r="X58" s="64">
        <f t="shared" si="55"/>
        <v>0.81144781144781142</v>
      </c>
      <c r="Y58" s="74">
        <f t="shared" si="55"/>
        <v>0.80359147025813693</v>
      </c>
      <c r="Z58" s="74">
        <f t="shared" si="55"/>
        <v>0.77665544332211001</v>
      </c>
      <c r="AA58" s="64">
        <f t="shared" si="55"/>
        <v>0.81159420289855078</v>
      </c>
      <c r="AB58" s="74">
        <f t="shared" si="55"/>
        <v>0.75440414507772025</v>
      </c>
      <c r="AC58" s="64">
        <f t="shared" si="55"/>
        <v>0.83678160919540234</v>
      </c>
      <c r="AD58" s="74">
        <f t="shared" si="55"/>
        <v>0.90238095238095239</v>
      </c>
      <c r="AE58" s="64">
        <f t="shared" si="55"/>
        <v>0.83393501805054149</v>
      </c>
      <c r="AF58" s="74">
        <f t="shared" si="55"/>
        <v>0.92233009708737868</v>
      </c>
      <c r="AG58" s="64">
        <f t="shared" si="55"/>
        <v>0.76779846659364737</v>
      </c>
      <c r="AH58" s="74">
        <f t="shared" ref="AH58:AI58" si="56">AH30/AH6</f>
        <v>0.77213822894168471</v>
      </c>
      <c r="AI58" s="64">
        <f t="shared" si="56"/>
        <v>0.73318872017353576</v>
      </c>
      <c r="AJ58" s="74">
        <f t="shared" ref="AJ58:AK58" si="57">AJ30/AJ6</f>
        <v>0.7404343329886246</v>
      </c>
      <c r="AK58" s="64">
        <f t="shared" si="57"/>
        <v>0.75929752066115708</v>
      </c>
      <c r="AL58" s="74">
        <f t="shared" ref="AL58:AM58" si="58">AL30/AL6</f>
        <v>0.76946721311475408</v>
      </c>
      <c r="AM58" s="64">
        <f t="shared" si="58"/>
        <v>0.6160714285714286</v>
      </c>
      <c r="AN58" s="74">
        <f t="shared" ref="AN58:AO58" si="59">AN30/AN6</f>
        <v>0.6232201533406353</v>
      </c>
      <c r="AO58" s="74">
        <f t="shared" si="59"/>
        <v>0.80582524271844658</v>
      </c>
    </row>
    <row r="59" spans="1:41" x14ac:dyDescent="0.3">
      <c r="C59" s="64">
        <f>C31/C6</f>
        <v>0.97078651685393258</v>
      </c>
      <c r="D59" s="74">
        <f t="shared" ref="D59:AI59" si="60">D31/D6</f>
        <v>0.98597868760515983</v>
      </c>
      <c r="E59" s="74">
        <f t="shared" si="60"/>
        <v>0.96853932584269664</v>
      </c>
      <c r="F59" s="64">
        <f t="shared" si="60"/>
        <v>0.93258426966292129</v>
      </c>
      <c r="G59" s="74">
        <f t="shared" si="60"/>
        <v>0.96737907761529807</v>
      </c>
      <c r="H59" s="74">
        <f t="shared" si="60"/>
        <v>0.949438202247191</v>
      </c>
      <c r="I59" s="64">
        <f t="shared" si="60"/>
        <v>0.92234042553191486</v>
      </c>
      <c r="J59" s="74">
        <f t="shared" si="60"/>
        <v>0.92234042553191486</v>
      </c>
      <c r="K59" s="74">
        <f t="shared" si="60"/>
        <v>0.92234042553191486</v>
      </c>
      <c r="L59" s="64">
        <f t="shared" si="60"/>
        <v>0.9577308120133482</v>
      </c>
      <c r="M59" s="74">
        <f t="shared" si="60"/>
        <v>0.96341463414634143</v>
      </c>
      <c r="N59" s="74">
        <f t="shared" si="60"/>
        <v>0.93214682981090102</v>
      </c>
      <c r="O59" s="64">
        <f t="shared" si="60"/>
        <v>1.4137931034482758</v>
      </c>
      <c r="P59" s="74">
        <f t="shared" si="60"/>
        <v>1.2993827160493827</v>
      </c>
      <c r="Q59" s="74">
        <f t="shared" si="60"/>
        <v>1.2072322670375522</v>
      </c>
      <c r="R59" s="64">
        <f t="shared" si="60"/>
        <v>0.87727272727272732</v>
      </c>
      <c r="S59" s="74">
        <f t="shared" si="60"/>
        <v>0.86644219977553316</v>
      </c>
      <c r="T59" s="74">
        <f t="shared" si="60"/>
        <v>0.88735632183908042</v>
      </c>
      <c r="U59" s="64">
        <f t="shared" si="60"/>
        <v>1.1536585365853658</v>
      </c>
      <c r="V59" s="74">
        <f t="shared" si="60"/>
        <v>1.1922141119221412</v>
      </c>
      <c r="W59" s="74">
        <f t="shared" si="60"/>
        <v>1.1536585365853658</v>
      </c>
      <c r="X59" s="64">
        <f t="shared" si="60"/>
        <v>0.96969696969696972</v>
      </c>
      <c r="Y59" s="74">
        <f t="shared" si="60"/>
        <v>0.96296296296296291</v>
      </c>
      <c r="Z59" s="74">
        <f t="shared" si="60"/>
        <v>0.96969696969696972</v>
      </c>
      <c r="AA59" s="64">
        <f t="shared" si="60"/>
        <v>0.88095238095238093</v>
      </c>
      <c r="AB59" s="74">
        <f t="shared" si="60"/>
        <v>0.81865284974093266</v>
      </c>
      <c r="AC59" s="64">
        <f t="shared" si="60"/>
        <v>1.0149425287356322</v>
      </c>
      <c r="AD59" s="74">
        <f t="shared" si="60"/>
        <v>1.1154761904761905</v>
      </c>
      <c r="AE59" s="64">
        <f t="shared" si="60"/>
        <v>0.99157641395908547</v>
      </c>
      <c r="AF59" s="74">
        <f t="shared" si="60"/>
        <v>1.087378640776699</v>
      </c>
      <c r="AG59" s="64">
        <f t="shared" si="60"/>
        <v>0.9529025191675794</v>
      </c>
      <c r="AH59" s="74">
        <f t="shared" si="60"/>
        <v>0.94600431965442766</v>
      </c>
      <c r="AI59" s="64">
        <f t="shared" si="60"/>
        <v>0.95444685466377444</v>
      </c>
      <c r="AJ59" s="74">
        <f t="shared" ref="AJ59:AK59" si="61">AJ31/AJ6</f>
        <v>0.92967942088934852</v>
      </c>
      <c r="AK59" s="64">
        <f t="shared" si="61"/>
        <v>0.96797520661157022</v>
      </c>
      <c r="AL59" s="74">
        <f t="shared" ref="AL59:AM59" si="62">AL31/AL6</f>
        <v>0.97643442622950816</v>
      </c>
      <c r="AM59" s="64">
        <f t="shared" si="62"/>
        <v>0.8147321428571429</v>
      </c>
      <c r="AN59" s="74">
        <f t="shared" ref="AN59:AO59" si="63">AN31/AN6</f>
        <v>0.81270536692223438</v>
      </c>
      <c r="AO59" s="74">
        <f t="shared" si="63"/>
        <v>0.70457697642163664</v>
      </c>
    </row>
    <row r="60" spans="1:41" x14ac:dyDescent="0.3">
      <c r="C60" s="64">
        <f>(C58+C59)/2</f>
        <v>0.88258426966292136</v>
      </c>
      <c r="D60" s="74">
        <f t="shared" ref="D60:AE60" si="64">(D58+D59)/2</f>
        <v>0.90241166573191256</v>
      </c>
      <c r="E60" s="74">
        <f t="shared" si="64"/>
        <v>0.87191011235955052</v>
      </c>
      <c r="F60" s="64">
        <f t="shared" si="64"/>
        <v>0.85898876404494384</v>
      </c>
      <c r="G60" s="74">
        <f t="shared" si="64"/>
        <v>0.87457817772778401</v>
      </c>
      <c r="H60" s="74">
        <f t="shared" si="64"/>
        <v>0.85898876404494384</v>
      </c>
      <c r="I60" s="64">
        <f t="shared" si="64"/>
        <v>0.84680851063829787</v>
      </c>
      <c r="J60" s="74">
        <f t="shared" si="64"/>
        <v>0.84787234042553195</v>
      </c>
      <c r="K60" s="74">
        <f t="shared" si="64"/>
        <v>0.8457446808510638</v>
      </c>
      <c r="L60" s="64">
        <f t="shared" si="64"/>
        <v>0.85428253615127914</v>
      </c>
      <c r="M60" s="74">
        <f t="shared" si="64"/>
        <v>0.86585365853658536</v>
      </c>
      <c r="N60" s="74">
        <f t="shared" si="64"/>
        <v>0.839265850945495</v>
      </c>
      <c r="O60" s="64">
        <f t="shared" si="64"/>
        <v>1.3322884012539185</v>
      </c>
      <c r="P60" s="74">
        <f t="shared" si="64"/>
        <v>1.2476851851851851</v>
      </c>
      <c r="Q60" s="74">
        <f t="shared" si="64"/>
        <v>1.1376912378303199</v>
      </c>
      <c r="R60" s="64">
        <f t="shared" si="64"/>
        <v>0.82670454545454541</v>
      </c>
      <c r="S60" s="74">
        <f t="shared" si="64"/>
        <v>0.8164983164983165</v>
      </c>
      <c r="T60" s="74">
        <f t="shared" si="64"/>
        <v>0.88103448275862073</v>
      </c>
      <c r="U60" s="64">
        <f t="shared" si="64"/>
        <v>1.2280487804878049</v>
      </c>
      <c r="V60" s="74">
        <f t="shared" si="64"/>
        <v>1.2408759124087592</v>
      </c>
      <c r="W60" s="74">
        <f t="shared" si="64"/>
        <v>1.2182926829268292</v>
      </c>
      <c r="X60" s="64">
        <f t="shared" si="64"/>
        <v>0.89057239057239057</v>
      </c>
      <c r="Y60" s="74">
        <f t="shared" si="64"/>
        <v>0.88327721661054992</v>
      </c>
      <c r="Z60" s="74">
        <f t="shared" si="64"/>
        <v>0.87317620650953987</v>
      </c>
      <c r="AA60" s="64">
        <f t="shared" si="64"/>
        <v>0.84627329192546585</v>
      </c>
      <c r="AB60" s="74">
        <f t="shared" si="64"/>
        <v>0.78652849740932651</v>
      </c>
      <c r="AC60" s="64">
        <f t="shared" si="64"/>
        <v>0.92586206896551726</v>
      </c>
      <c r="AD60" s="74">
        <f t="shared" si="64"/>
        <v>1.0089285714285714</v>
      </c>
      <c r="AE60" s="64">
        <f t="shared" si="64"/>
        <v>0.91275571600481342</v>
      </c>
      <c r="AF60" s="74">
        <f t="shared" ref="AF60" si="65">(AF58+AF59)/2</f>
        <v>1.0048543689320388</v>
      </c>
      <c r="AG60" s="64">
        <f t="shared" ref="AG60" si="66">(AG58+AG59)/2</f>
        <v>0.86035049288061338</v>
      </c>
      <c r="AH60" s="74">
        <f t="shared" ref="AH60" si="67">(AH58+AH59)/2</f>
        <v>0.85907127429805619</v>
      </c>
      <c r="AI60" s="64">
        <f t="shared" ref="AI60:AJ60" si="68">(AI58+AI59)/2</f>
        <v>0.8438177874186551</v>
      </c>
      <c r="AJ60" s="74">
        <f t="shared" si="68"/>
        <v>0.83505687693898656</v>
      </c>
      <c r="AK60" s="64">
        <f t="shared" ref="AK60:AL60" si="69">(AK58+AK59)/2</f>
        <v>0.86363636363636365</v>
      </c>
      <c r="AL60" s="74">
        <f t="shared" si="69"/>
        <v>0.87295081967213117</v>
      </c>
      <c r="AM60" s="64">
        <f t="shared" ref="AM60:AN60" si="70">(AM58+AM59)/2</f>
        <v>0.71540178571428581</v>
      </c>
      <c r="AN60" s="74">
        <f t="shared" si="70"/>
        <v>0.7179627601314349</v>
      </c>
      <c r="AO60" s="74">
        <f t="shared" ref="AO60" si="71">(AO58+AO59)/2</f>
        <v>0.75520110957004161</v>
      </c>
    </row>
    <row r="61" spans="1:41" x14ac:dyDescent="0.3">
      <c r="AD61" s="149"/>
      <c r="AF61" s="149"/>
      <c r="AH61" s="150"/>
    </row>
  </sheetData>
  <phoneticPr fontId="1" type="noConversion"/>
  <pageMargins left="0.7" right="0.7" top="0.75" bottom="0.75" header="0.3" footer="0.3"/>
  <pageSetup paperSize="9" orientation="portrait" horizontalDpi="4294967295" verticalDpi="4294967295" r:id="rId1"/>
  <ignoredErrors>
    <ignoredError sqref="M8 P28:P29 S26 S29 S31 V6 V27 V29 Y31" formula="1"/>
  </ignoredError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58"/>
  <sheetViews>
    <sheetView zoomScale="70" zoomScaleNormal="70" workbookViewId="0">
      <pane ySplit="2" topLeftCell="A3" activePane="bottomLeft" state="frozen"/>
      <selection pane="bottomLeft" activeCell="Q42" sqref="Q42"/>
    </sheetView>
  </sheetViews>
  <sheetFormatPr defaultRowHeight="12.75" x14ac:dyDescent="0.3"/>
  <cols>
    <col min="1" max="1" width="5.875" style="271" bestFit="1" customWidth="1"/>
    <col min="2" max="2" width="12" style="45" customWidth="1"/>
    <col min="3" max="3" width="21.25" style="24" bestFit="1" customWidth="1"/>
    <col min="4" max="4" width="8.25" style="105" customWidth="1"/>
    <col min="5" max="6" width="8.25" style="35" customWidth="1"/>
    <col min="7" max="7" width="6.125" style="57" customWidth="1"/>
    <col min="8" max="9" width="6" style="24" customWidth="1"/>
    <col min="10" max="10" width="6.875" style="110" customWidth="1"/>
    <col min="11" max="12" width="6.875" style="24" customWidth="1"/>
    <col min="13" max="13" width="7.375" style="110" customWidth="1"/>
    <col min="14" max="15" width="7.375" style="24" customWidth="1"/>
    <col min="16" max="16" width="7.375" style="57" customWidth="1"/>
    <col min="17" max="18" width="7.375" style="24" customWidth="1"/>
    <col min="19" max="19" width="7.875" style="110" customWidth="1"/>
    <col min="20" max="21" width="7.375" style="24" customWidth="1"/>
    <col min="22" max="22" width="8" style="110" customWidth="1"/>
    <col min="23" max="23" width="9" style="24" customWidth="1"/>
    <col min="24" max="24" width="8.75" style="24" customWidth="1"/>
    <col min="25" max="25" width="8.25" style="110" customWidth="1"/>
    <col min="26" max="27" width="8.25" style="24" customWidth="1"/>
    <col min="28" max="28" width="8.25" style="110" customWidth="1"/>
    <col min="29" max="29" width="7.75" style="24" customWidth="1"/>
    <col min="30" max="30" width="8.25" style="110" customWidth="1"/>
    <col min="31" max="31" width="8.25" style="24" customWidth="1"/>
    <col min="32" max="32" width="9" style="110" customWidth="1"/>
    <col min="33" max="33" width="9" style="24" customWidth="1"/>
    <col min="34" max="35" width="9" style="275"/>
    <col min="36" max="16384" width="9" style="24"/>
  </cols>
  <sheetData>
    <row r="1" spans="1:36" s="89" customFormat="1" x14ac:dyDescent="0.3">
      <c r="A1" s="271"/>
      <c r="B1" s="88"/>
      <c r="D1" s="103" t="s">
        <v>322</v>
      </c>
      <c r="G1" s="90" t="s">
        <v>305</v>
      </c>
      <c r="J1" s="103">
        <v>6</v>
      </c>
      <c r="M1" s="103" t="s">
        <v>323</v>
      </c>
      <c r="P1" s="90" t="s">
        <v>306</v>
      </c>
      <c r="S1" s="103" t="s">
        <v>324</v>
      </c>
      <c r="V1" s="103" t="s">
        <v>325</v>
      </c>
      <c r="Y1" s="103" t="s">
        <v>307</v>
      </c>
      <c r="AB1" s="103" t="s">
        <v>326</v>
      </c>
      <c r="AD1" s="103" t="s">
        <v>325</v>
      </c>
      <c r="AF1" s="103" t="s">
        <v>308</v>
      </c>
      <c r="AH1" s="275"/>
      <c r="AI1" s="275"/>
    </row>
    <row r="2" spans="1:36" s="42" customFormat="1" ht="28.5" customHeight="1" x14ac:dyDescent="0.3">
      <c r="A2" s="271"/>
      <c r="D2" s="104" t="s">
        <v>186</v>
      </c>
      <c r="E2" s="44" t="s">
        <v>187</v>
      </c>
      <c r="F2" s="44" t="s">
        <v>188</v>
      </c>
      <c r="G2" s="55" t="s">
        <v>193</v>
      </c>
      <c r="H2" s="44" t="s">
        <v>194</v>
      </c>
      <c r="I2" s="44" t="s">
        <v>195</v>
      </c>
      <c r="J2" s="39" t="s">
        <v>202</v>
      </c>
      <c r="K2" s="40" t="s">
        <v>200</v>
      </c>
      <c r="L2" s="41" t="s">
        <v>201</v>
      </c>
      <c r="M2" s="39" t="s">
        <v>203</v>
      </c>
      <c r="N2" s="40" t="s">
        <v>204</v>
      </c>
      <c r="O2" s="41" t="s">
        <v>205</v>
      </c>
      <c r="P2" s="46" t="s">
        <v>217</v>
      </c>
      <c r="Q2" s="41" t="s">
        <v>218</v>
      </c>
      <c r="R2" s="41" t="s">
        <v>219</v>
      </c>
      <c r="S2" s="113" t="s">
        <v>220</v>
      </c>
      <c r="T2" s="41" t="s">
        <v>221</v>
      </c>
      <c r="U2" s="41" t="s">
        <v>222</v>
      </c>
      <c r="V2" s="113" t="s">
        <v>223</v>
      </c>
      <c r="W2" s="41" t="s">
        <v>224</v>
      </c>
      <c r="X2" s="41" t="s">
        <v>232</v>
      </c>
      <c r="Y2" s="115" t="s">
        <v>231</v>
      </c>
      <c r="Z2" s="47" t="s">
        <v>230</v>
      </c>
      <c r="AA2" s="47" t="s">
        <v>229</v>
      </c>
      <c r="AB2" s="115" t="s">
        <v>228</v>
      </c>
      <c r="AC2" s="47" t="s">
        <v>227</v>
      </c>
      <c r="AD2" s="113" t="s">
        <v>225</v>
      </c>
      <c r="AE2" s="47" t="s">
        <v>226</v>
      </c>
      <c r="AF2" s="116" t="s">
        <v>247</v>
      </c>
      <c r="AG2" s="38" t="s">
        <v>248</v>
      </c>
      <c r="AH2" s="276" t="s">
        <v>600</v>
      </c>
      <c r="AI2" s="276" t="s">
        <v>601</v>
      </c>
      <c r="AJ2" s="273" t="s">
        <v>652</v>
      </c>
    </row>
    <row r="3" spans="1:36" s="28" customFormat="1" x14ac:dyDescent="0.3">
      <c r="A3" s="272"/>
      <c r="B3" s="97" t="s">
        <v>88</v>
      </c>
      <c r="D3" s="105"/>
      <c r="E3" s="53"/>
      <c r="F3" s="53"/>
      <c r="J3" s="110"/>
      <c r="M3" s="110"/>
      <c r="S3" s="110"/>
      <c r="V3" s="110"/>
      <c r="Y3" s="110"/>
      <c r="AB3" s="110"/>
      <c r="AD3" s="110"/>
      <c r="AF3" s="110"/>
      <c r="AH3" s="277"/>
      <c r="AI3" s="277"/>
    </row>
    <row r="4" spans="1:36" s="28" customFormat="1" x14ac:dyDescent="0.3">
      <c r="A4" s="272"/>
      <c r="B4" s="97" t="s">
        <v>0</v>
      </c>
      <c r="C4" s="100" t="s">
        <v>1</v>
      </c>
      <c r="D4" s="106">
        <v>2.5249999999999999</v>
      </c>
      <c r="E4" s="52">
        <v>1.9821428571428572</v>
      </c>
      <c r="F4" s="52">
        <v>2.9333333333333331</v>
      </c>
      <c r="G4" s="52">
        <v>1</v>
      </c>
      <c r="H4" s="52">
        <v>1</v>
      </c>
      <c r="I4" s="52">
        <v>1</v>
      </c>
      <c r="J4" s="106">
        <v>2.0512820512820511</v>
      </c>
      <c r="K4" s="52">
        <v>1.7837837837837838</v>
      </c>
      <c r="L4" s="52">
        <v>2.6666666666666665</v>
      </c>
      <c r="M4" s="106">
        <v>2.3372093023255816</v>
      </c>
      <c r="N4" s="52">
        <v>2.0721649484536084</v>
      </c>
      <c r="O4" s="52">
        <v>2.5443037974683542</v>
      </c>
      <c r="P4" s="52">
        <v>1.0483870967741935</v>
      </c>
      <c r="Q4" s="52">
        <v>1.0769230769230769</v>
      </c>
      <c r="R4" s="52">
        <v>1.1506849315068493</v>
      </c>
      <c r="S4" s="106">
        <v>2</v>
      </c>
      <c r="T4" s="52">
        <v>1.8888888888888888</v>
      </c>
      <c r="U4" s="52">
        <v>2.1428571428571428</v>
      </c>
      <c r="V4" s="106">
        <v>1.8271604938271604</v>
      </c>
      <c r="W4" s="52">
        <v>1.7441860465116279</v>
      </c>
      <c r="X4" s="52">
        <v>2.08955223880597</v>
      </c>
      <c r="Y4" s="106">
        <v>2.116883116883117</v>
      </c>
      <c r="Z4" s="52">
        <v>1.963855421686747</v>
      </c>
      <c r="AA4" s="52">
        <v>2.2816901408450705</v>
      </c>
      <c r="AB4" s="106">
        <v>1.972972972972973</v>
      </c>
      <c r="AC4" s="52">
        <v>2.6041666666666665</v>
      </c>
      <c r="AD4" s="106">
        <v>3.06</v>
      </c>
      <c r="AE4" s="52">
        <v>2.1363636363636362</v>
      </c>
      <c r="AF4" s="106">
        <v>1.1587301587301588</v>
      </c>
      <c r="AG4" s="52">
        <v>1.1162790697674418</v>
      </c>
      <c r="AH4" s="277">
        <v>2.2708333333333335</v>
      </c>
      <c r="AI4" s="277">
        <v>1</v>
      </c>
    </row>
    <row r="5" spans="1:36" s="28" customFormat="1" x14ac:dyDescent="0.3">
      <c r="A5" s="272"/>
      <c r="B5" s="97" t="s">
        <v>2</v>
      </c>
      <c r="C5" s="28" t="s">
        <v>3</v>
      </c>
      <c r="D5" s="105">
        <v>0.7</v>
      </c>
      <c r="E5" s="53">
        <v>0.6116071428571429</v>
      </c>
      <c r="F5" s="53">
        <v>0.58333333333333337</v>
      </c>
      <c r="G5" s="53">
        <v>0</v>
      </c>
      <c r="H5" s="53">
        <v>0</v>
      </c>
      <c r="I5" s="53">
        <v>0</v>
      </c>
      <c r="J5" s="105">
        <v>0.55128205128205132</v>
      </c>
      <c r="K5" s="53">
        <v>0.6216216216216216</v>
      </c>
      <c r="L5" s="53">
        <v>0.52941176470588236</v>
      </c>
      <c r="M5" s="105">
        <v>0.62790697674418605</v>
      </c>
      <c r="N5" s="53">
        <v>0.71134020618556704</v>
      </c>
      <c r="O5" s="53">
        <v>0.620253164556962</v>
      </c>
      <c r="P5" s="53">
        <v>0.29838709677419356</v>
      </c>
      <c r="Q5" s="53">
        <v>0.32307692307692309</v>
      </c>
      <c r="R5" s="53">
        <v>1.0136986301369864</v>
      </c>
      <c r="S5" s="105">
        <v>0.72499999999999998</v>
      </c>
      <c r="T5" s="53">
        <v>0.75555555555555554</v>
      </c>
      <c r="U5" s="53">
        <v>0.68571428571428572</v>
      </c>
      <c r="V5" s="105">
        <v>0.50617283950617287</v>
      </c>
      <c r="W5" s="53">
        <v>0.69767441860465118</v>
      </c>
      <c r="X5" s="53">
        <v>0.59701492537313428</v>
      </c>
      <c r="Y5" s="105">
        <v>0.66233766233766234</v>
      </c>
      <c r="Z5" s="53">
        <v>0.72289156626506024</v>
      </c>
      <c r="AA5" s="53">
        <v>0.61971830985915488</v>
      </c>
      <c r="AB5" s="105">
        <v>1.027027027027027</v>
      </c>
      <c r="AC5" s="53">
        <v>1.2083333333333333</v>
      </c>
      <c r="AD5" s="105">
        <v>0.72</v>
      </c>
      <c r="AE5" s="53">
        <v>0.70454545454545459</v>
      </c>
      <c r="AF5" s="105">
        <v>0</v>
      </c>
      <c r="AG5" s="53">
        <v>0</v>
      </c>
      <c r="AH5" s="277">
        <v>1.1458333333333333</v>
      </c>
      <c r="AI5" s="277">
        <v>0</v>
      </c>
    </row>
    <row r="6" spans="1:36" s="28" customFormat="1" x14ac:dyDescent="0.3">
      <c r="A6" s="272"/>
      <c r="B6" s="97" t="s">
        <v>4</v>
      </c>
      <c r="C6" s="28" t="s">
        <v>5</v>
      </c>
      <c r="D6" s="105">
        <v>0.12191011235955056</v>
      </c>
      <c r="E6" s="53">
        <v>0.10263600673022995</v>
      </c>
      <c r="F6" s="53">
        <v>0.11348314606741573</v>
      </c>
      <c r="G6" s="53">
        <v>0</v>
      </c>
      <c r="H6" s="53">
        <v>0</v>
      </c>
      <c r="I6" s="53">
        <v>0</v>
      </c>
      <c r="J6" s="105">
        <v>9.7872340425531917E-2</v>
      </c>
      <c r="K6" s="53">
        <v>0.13191489361702127</v>
      </c>
      <c r="L6" s="53">
        <v>7.7659574468085107E-2</v>
      </c>
      <c r="M6" s="105">
        <v>0.13014460511679643</v>
      </c>
      <c r="N6" s="53">
        <v>0.13858093126385809</v>
      </c>
      <c r="O6" s="53">
        <v>0.12680756395995552</v>
      </c>
      <c r="P6" s="53">
        <v>0.10658307210031348</v>
      </c>
      <c r="Q6" s="53">
        <v>0.11882716049382716</v>
      </c>
      <c r="R6" s="53">
        <v>0.12795549374130738</v>
      </c>
      <c r="S6" s="105">
        <v>6.5909090909090903E-2</v>
      </c>
      <c r="T6" s="53">
        <v>7.6318742985409652E-2</v>
      </c>
      <c r="U6" s="53">
        <v>5.5172413793103448E-2</v>
      </c>
      <c r="V6" s="105">
        <v>0.20243902439024392</v>
      </c>
      <c r="W6" s="53">
        <v>0.21897810218978103</v>
      </c>
      <c r="X6" s="53">
        <v>0.47073170731707314</v>
      </c>
      <c r="Y6" s="105">
        <v>0.12345679012345678</v>
      </c>
      <c r="Z6" s="53">
        <v>0.13131313131313133</v>
      </c>
      <c r="AA6" s="53">
        <v>0.11672278338945005</v>
      </c>
      <c r="AB6" s="105">
        <v>0.13043478260869565</v>
      </c>
      <c r="AC6" s="53">
        <v>0.11606217616580311</v>
      </c>
      <c r="AD6" s="105">
        <v>8.1609195402298856E-2</v>
      </c>
      <c r="AE6" s="53">
        <v>0.15833333333333333</v>
      </c>
      <c r="AF6" s="105">
        <v>0</v>
      </c>
      <c r="AG6" s="53">
        <v>0</v>
      </c>
      <c r="AH6" s="277">
        <v>0.26074895977808599</v>
      </c>
      <c r="AI6" s="277">
        <v>0</v>
      </c>
    </row>
    <row r="7" spans="1:36" s="28" customFormat="1" x14ac:dyDescent="0.3">
      <c r="A7" s="272"/>
      <c r="B7" s="97" t="s">
        <v>6</v>
      </c>
      <c r="C7" s="28" t="s">
        <v>479</v>
      </c>
      <c r="D7" s="105">
        <v>0.33750000000000002</v>
      </c>
      <c r="E7" s="53">
        <v>0.3392857142857143</v>
      </c>
      <c r="F7" s="53">
        <v>0.31666666666666665</v>
      </c>
      <c r="G7" s="53">
        <v>0.5</v>
      </c>
      <c r="H7" s="53">
        <v>0.5</v>
      </c>
      <c r="I7" s="53">
        <v>0.5</v>
      </c>
      <c r="J7" s="105">
        <v>0.5</v>
      </c>
      <c r="K7" s="53">
        <v>0.5</v>
      </c>
      <c r="L7" s="53">
        <v>0.5</v>
      </c>
      <c r="M7" s="105">
        <v>1</v>
      </c>
      <c r="N7" s="53">
        <v>1</v>
      </c>
      <c r="O7" s="53">
        <v>1</v>
      </c>
      <c r="P7" s="53">
        <v>0.29838709677419356</v>
      </c>
      <c r="Q7" s="53">
        <v>0.22307692307692309</v>
      </c>
      <c r="R7" s="53">
        <v>0.54794520547945202</v>
      </c>
      <c r="S7" s="105">
        <v>0.5</v>
      </c>
      <c r="T7" s="53">
        <v>0.5</v>
      </c>
      <c r="U7" s="53">
        <v>0.5</v>
      </c>
      <c r="V7" s="105">
        <v>0.34567901234567899</v>
      </c>
      <c r="W7" s="53">
        <v>0.36046511627906974</v>
      </c>
      <c r="X7" s="53">
        <v>0.32835820895522388</v>
      </c>
      <c r="Y7" s="105">
        <v>0.25974025974025972</v>
      </c>
      <c r="Z7" s="53">
        <v>0.31325301204819278</v>
      </c>
      <c r="AA7" s="53">
        <v>0.21126760563380281</v>
      </c>
      <c r="AB7" s="105">
        <v>0.44594594594594594</v>
      </c>
      <c r="AC7" s="53">
        <v>0.45833333333333331</v>
      </c>
      <c r="AD7" s="105">
        <v>0.3</v>
      </c>
      <c r="AE7" s="53">
        <v>0.27272727272727271</v>
      </c>
      <c r="AF7" s="105">
        <v>0.5</v>
      </c>
      <c r="AG7" s="53">
        <v>0.5</v>
      </c>
      <c r="AH7" s="277">
        <v>0.47916666666666669</v>
      </c>
      <c r="AI7" s="277">
        <v>0.4631578947368421</v>
      </c>
    </row>
    <row r="8" spans="1:36" s="28" customFormat="1" x14ac:dyDescent="0.3">
      <c r="A8" s="272"/>
      <c r="B8" s="97" t="s">
        <v>8</v>
      </c>
      <c r="D8" s="105">
        <v>17</v>
      </c>
      <c r="E8" s="53">
        <v>28</v>
      </c>
      <c r="F8" s="53">
        <v>12</v>
      </c>
      <c r="G8" s="53">
        <v>0</v>
      </c>
      <c r="H8" s="53">
        <v>0</v>
      </c>
      <c r="I8" s="53">
        <v>0</v>
      </c>
      <c r="J8" s="105">
        <v>0</v>
      </c>
      <c r="K8" s="53">
        <v>0</v>
      </c>
      <c r="L8" s="53">
        <v>0</v>
      </c>
      <c r="M8" s="105">
        <v>21</v>
      </c>
      <c r="N8" s="53">
        <v>23</v>
      </c>
      <c r="O8" s="53">
        <v>21</v>
      </c>
      <c r="P8" s="53">
        <v>10</v>
      </c>
      <c r="Q8" s="53">
        <v>9</v>
      </c>
      <c r="R8" s="53">
        <v>7</v>
      </c>
      <c r="S8" s="105">
        <v>33</v>
      </c>
      <c r="T8" s="53">
        <v>38</v>
      </c>
      <c r="U8" s="53">
        <v>28</v>
      </c>
      <c r="V8" s="105">
        <v>17</v>
      </c>
      <c r="W8" s="53">
        <v>20</v>
      </c>
      <c r="X8" s="53">
        <v>22</v>
      </c>
      <c r="Y8" s="105">
        <v>16</v>
      </c>
      <c r="Z8" s="53">
        <v>25</v>
      </c>
      <c r="AA8" s="53">
        <v>10</v>
      </c>
      <c r="AB8" s="105">
        <v>25</v>
      </c>
      <c r="AC8" s="53">
        <v>20</v>
      </c>
      <c r="AD8" s="105">
        <v>11</v>
      </c>
      <c r="AE8" s="53">
        <v>21</v>
      </c>
      <c r="AF8" s="105">
        <v>0</v>
      </c>
      <c r="AG8" s="53">
        <v>0</v>
      </c>
      <c r="AH8" s="277">
        <v>25</v>
      </c>
      <c r="AI8" s="277">
        <v>0</v>
      </c>
    </row>
    <row r="9" spans="1:36" s="28" customFormat="1" x14ac:dyDescent="0.3">
      <c r="A9" s="272"/>
      <c r="B9" s="97" t="s">
        <v>9</v>
      </c>
      <c r="C9" s="28" t="s">
        <v>10</v>
      </c>
      <c r="D9" s="105">
        <v>0.56662804171494785</v>
      </c>
      <c r="E9" s="53">
        <v>0.52309468822170901</v>
      </c>
      <c r="F9" s="53">
        <v>0.60602549246813442</v>
      </c>
      <c r="G9" s="53">
        <v>1</v>
      </c>
      <c r="H9" s="53">
        <v>1</v>
      </c>
      <c r="I9" s="53">
        <v>1</v>
      </c>
      <c r="J9" s="105">
        <v>1</v>
      </c>
      <c r="K9" s="53">
        <v>1</v>
      </c>
      <c r="L9" s="53">
        <v>1</v>
      </c>
      <c r="M9" s="105">
        <v>0.76525821596244137</v>
      </c>
      <c r="N9" s="53">
        <v>0.75176470588235289</v>
      </c>
      <c r="O9" s="53">
        <v>0.75205640423031728</v>
      </c>
      <c r="P9" s="53">
        <v>0.84265279583875163</v>
      </c>
      <c r="Q9" s="53">
        <v>0.83076923076923082</v>
      </c>
      <c r="R9" s="53">
        <v>0.74137931034482762</v>
      </c>
      <c r="S9" s="105">
        <v>0.90944881889763785</v>
      </c>
      <c r="T9" s="53">
        <v>0.89766839378238339</v>
      </c>
      <c r="U9" s="53">
        <v>0.92154255319148937</v>
      </c>
      <c r="V9" s="105">
        <v>0.32038834951456313</v>
      </c>
      <c r="W9" s="53">
        <v>0.65952380952380951</v>
      </c>
      <c r="X9" s="53">
        <v>0.27073170731707319</v>
      </c>
      <c r="Y9" s="105">
        <v>0.73063583815028899</v>
      </c>
      <c r="Z9" s="53">
        <v>0.71180555555555558</v>
      </c>
      <c r="AA9" s="53">
        <v>0.74709976798143851</v>
      </c>
      <c r="AB9" s="105">
        <v>0.61166666666666669</v>
      </c>
      <c r="AC9" s="53">
        <v>0.64912280701754388</v>
      </c>
      <c r="AD9" s="105">
        <v>0.55936073059360736</v>
      </c>
      <c r="AE9" s="53">
        <v>0.48636363636363639</v>
      </c>
      <c r="AF9" s="105">
        <v>1</v>
      </c>
      <c r="AG9" s="53">
        <v>1</v>
      </c>
      <c r="AH9" s="277">
        <v>0.60915492957746475</v>
      </c>
      <c r="AI9" s="277">
        <v>1</v>
      </c>
    </row>
    <row r="10" spans="1:36" s="28" customFormat="1" x14ac:dyDescent="0.3">
      <c r="A10" s="272"/>
      <c r="B10" s="97" t="s">
        <v>11</v>
      </c>
      <c r="C10" s="28" t="s">
        <v>132</v>
      </c>
      <c r="D10" s="105">
        <v>1.5892857142857142</v>
      </c>
      <c r="E10" s="53">
        <v>1.6321167883211678</v>
      </c>
      <c r="F10" s="53">
        <v>2.6639999999999997</v>
      </c>
      <c r="G10" s="101" t="s">
        <v>253</v>
      </c>
      <c r="H10" s="101" t="s">
        <v>253</v>
      </c>
      <c r="I10" s="101" t="s">
        <v>253</v>
      </c>
      <c r="J10" s="111" t="s">
        <v>253</v>
      </c>
      <c r="K10" s="101" t="s">
        <v>253</v>
      </c>
      <c r="L10" s="101" t="s">
        <v>253</v>
      </c>
      <c r="M10" s="105">
        <v>0.34074074074074073</v>
      </c>
      <c r="N10" s="53">
        <v>6.6666666666666638E-2</v>
      </c>
      <c r="O10" s="53">
        <v>-1.8367346938775481E-2</v>
      </c>
      <c r="P10" s="53">
        <v>1.0364864864864864</v>
      </c>
      <c r="Q10" s="53">
        <v>0.59523809523809523</v>
      </c>
      <c r="R10" s="53">
        <v>1.5135135135135136</v>
      </c>
      <c r="S10" s="105">
        <v>-0.75862068965517238</v>
      </c>
      <c r="T10" s="53">
        <v>-0.72058823529411764</v>
      </c>
      <c r="U10" s="53">
        <v>-0.8208333333333333</v>
      </c>
      <c r="V10" s="105">
        <v>0.81707317073170727</v>
      </c>
      <c r="W10" s="53">
        <v>0.3716666666666667</v>
      </c>
      <c r="X10" s="53">
        <v>1.1525000000000001</v>
      </c>
      <c r="Y10" s="105">
        <v>1.1529411764705881</v>
      </c>
      <c r="Z10" s="53">
        <v>0.76666666666666672</v>
      </c>
      <c r="AA10" s="53">
        <v>1.3068181818181819</v>
      </c>
      <c r="AB10" s="105">
        <v>0.19736842105263158</v>
      </c>
      <c r="AC10" s="53">
        <v>0.74137931034482762</v>
      </c>
      <c r="AD10" s="105">
        <v>1.233888888888889</v>
      </c>
      <c r="AE10" s="53">
        <v>0.98064516129032253</v>
      </c>
      <c r="AF10" s="111" t="s">
        <v>249</v>
      </c>
      <c r="AG10" s="101" t="s">
        <v>249</v>
      </c>
      <c r="AH10" s="277">
        <v>568</v>
      </c>
      <c r="AI10" s="277">
        <v>332</v>
      </c>
    </row>
    <row r="11" spans="1:36" s="28" customFormat="1" ht="13.5" customHeight="1" x14ac:dyDescent="0.3">
      <c r="A11" s="272"/>
      <c r="B11" s="97" t="s">
        <v>2</v>
      </c>
      <c r="C11" s="100" t="s">
        <v>3</v>
      </c>
      <c r="D11" s="105">
        <v>0.7</v>
      </c>
      <c r="E11" s="53">
        <v>0.6116071428571429</v>
      </c>
      <c r="F11" s="53">
        <v>0.58333333333333337</v>
      </c>
      <c r="G11" s="53">
        <v>0</v>
      </c>
      <c r="H11" s="53">
        <v>0</v>
      </c>
      <c r="I11" s="53">
        <v>0</v>
      </c>
      <c r="J11" s="105">
        <v>0.55128205128205132</v>
      </c>
      <c r="K11" s="53">
        <v>0.6216216216216216</v>
      </c>
      <c r="L11" s="53">
        <v>0.52941176470588236</v>
      </c>
      <c r="M11" s="105">
        <v>0.62790697674418605</v>
      </c>
      <c r="N11" s="53">
        <v>0.71134020618556704</v>
      </c>
      <c r="O11" s="53">
        <v>0.620253164556962</v>
      </c>
      <c r="P11" s="53">
        <v>0.29838709677419356</v>
      </c>
      <c r="Q11" s="53">
        <v>0.32307692307692309</v>
      </c>
      <c r="R11" s="53">
        <v>1.0136986301369864</v>
      </c>
      <c r="S11" s="105">
        <v>0.72499999999999998</v>
      </c>
      <c r="T11" s="53">
        <v>0.75555555555555554</v>
      </c>
      <c r="U11" s="53">
        <v>0.68571428571428572</v>
      </c>
      <c r="V11" s="105">
        <v>0.50617283950617287</v>
      </c>
      <c r="W11" s="53">
        <v>0.69767441860465118</v>
      </c>
      <c r="X11" s="53">
        <v>0.59701492537313428</v>
      </c>
      <c r="Y11" s="105">
        <v>0.66233766233766234</v>
      </c>
      <c r="Z11" s="53">
        <v>0.72289156626506024</v>
      </c>
      <c r="AA11" s="53">
        <v>0.61971830985915488</v>
      </c>
      <c r="AB11" s="105">
        <v>1.027027027027027</v>
      </c>
      <c r="AC11" s="53">
        <v>1.2083333333333333</v>
      </c>
      <c r="AD11" s="105">
        <v>0.72</v>
      </c>
      <c r="AE11" s="53">
        <v>0.70454545454545459</v>
      </c>
      <c r="AF11" s="105">
        <v>0</v>
      </c>
      <c r="AG11" s="53">
        <v>0</v>
      </c>
      <c r="AH11" s="277">
        <v>1.1458333333333333</v>
      </c>
      <c r="AI11" s="277">
        <v>0</v>
      </c>
    </row>
    <row r="12" spans="1:36" s="28" customFormat="1" x14ac:dyDescent="0.3">
      <c r="A12" s="272"/>
      <c r="B12" s="97" t="s">
        <v>15</v>
      </c>
      <c r="C12" s="100" t="s">
        <v>16</v>
      </c>
      <c r="D12" s="105">
        <v>0.33750000000000002</v>
      </c>
      <c r="E12" s="53">
        <v>0.18303571428571427</v>
      </c>
      <c r="F12" s="53">
        <v>0.35</v>
      </c>
      <c r="G12" s="53">
        <v>0</v>
      </c>
      <c r="H12" s="53">
        <v>0</v>
      </c>
      <c r="I12" s="53">
        <v>0</v>
      </c>
      <c r="J12" s="105">
        <v>0.66666666666666663</v>
      </c>
      <c r="K12" s="53">
        <v>0.5495495495495496</v>
      </c>
      <c r="L12" s="53">
        <v>0.88235294117647056</v>
      </c>
      <c r="M12" s="105">
        <v>0.18604651162790697</v>
      </c>
      <c r="N12" s="53">
        <v>0.22680412371134021</v>
      </c>
      <c r="O12" s="53">
        <v>0.24050632911392406</v>
      </c>
      <c r="P12" s="53">
        <v>0</v>
      </c>
      <c r="Q12" s="53">
        <v>0</v>
      </c>
      <c r="R12" s="53">
        <v>0</v>
      </c>
      <c r="S12" s="105">
        <v>0.05</v>
      </c>
      <c r="T12" s="53">
        <v>4.4444444444444446E-2</v>
      </c>
      <c r="U12" s="53">
        <v>5.7142857142857141E-2</v>
      </c>
      <c r="V12" s="105">
        <v>0.18518518518518517</v>
      </c>
      <c r="W12" s="53">
        <v>0.18604651162790697</v>
      </c>
      <c r="X12" s="53">
        <v>0.22388059701492538</v>
      </c>
      <c r="Y12" s="105">
        <v>0.29870129870129869</v>
      </c>
      <c r="Z12" s="53">
        <v>0.27710843373493976</v>
      </c>
      <c r="AA12" s="53">
        <v>0.29577464788732394</v>
      </c>
      <c r="AB12" s="105">
        <v>0.86486486486486491</v>
      </c>
      <c r="AC12" s="53">
        <v>1.0625</v>
      </c>
      <c r="AD12" s="105">
        <v>0.38</v>
      </c>
      <c r="AE12" s="53">
        <v>0.375</v>
      </c>
      <c r="AF12" s="105">
        <v>4.7619047619047616E-2</v>
      </c>
      <c r="AG12" s="53">
        <v>2.3255813953488372E-2</v>
      </c>
      <c r="AH12" s="277">
        <v>0</v>
      </c>
      <c r="AI12" s="277">
        <v>0</v>
      </c>
    </row>
    <row r="13" spans="1:36" s="28" customFormat="1" x14ac:dyDescent="0.3">
      <c r="A13" s="272"/>
      <c r="B13" s="97" t="s">
        <v>17</v>
      </c>
      <c r="C13" s="100" t="s">
        <v>31</v>
      </c>
      <c r="D13" s="105">
        <v>0.20224719101123595</v>
      </c>
      <c r="E13" s="53">
        <v>0.23443634324172744</v>
      </c>
      <c r="F13" s="53">
        <v>0.18764044943820224</v>
      </c>
      <c r="G13" s="53">
        <v>0</v>
      </c>
      <c r="H13" s="53">
        <v>0</v>
      </c>
      <c r="I13" s="53">
        <v>0</v>
      </c>
      <c r="J13" s="105">
        <v>0</v>
      </c>
      <c r="K13" s="53">
        <v>0</v>
      </c>
      <c r="L13" s="53">
        <v>0</v>
      </c>
      <c r="M13" s="105">
        <v>8.3426028921023354E-2</v>
      </c>
      <c r="N13" s="53">
        <v>8.3148558758314853E-2</v>
      </c>
      <c r="O13" s="53">
        <v>0.10122358175750834</v>
      </c>
      <c r="P13" s="53">
        <v>0.11755485893416928</v>
      </c>
      <c r="Q13" s="53">
        <v>0.12345679012345678</v>
      </c>
      <c r="R13" s="53">
        <v>0.12934631432545202</v>
      </c>
      <c r="S13" s="105">
        <v>3.8636363636363635E-2</v>
      </c>
      <c r="T13" s="53">
        <v>4.3771043771043773E-2</v>
      </c>
      <c r="U13" s="53">
        <v>3.3333333333333333E-2</v>
      </c>
      <c r="V13" s="105">
        <v>0.275609756097561</v>
      </c>
      <c r="W13" s="53">
        <v>0.36496350364963503</v>
      </c>
      <c r="X13" s="53">
        <v>0.33170731707317075</v>
      </c>
      <c r="Y13" s="105">
        <v>0.22558922558922559</v>
      </c>
      <c r="Z13" s="53">
        <v>0.2334455667789001</v>
      </c>
      <c r="AA13" s="53">
        <v>0.21661054994388329</v>
      </c>
      <c r="AB13" s="105">
        <v>0.13146997929606624</v>
      </c>
      <c r="AC13" s="53">
        <v>0.11502590673575129</v>
      </c>
      <c r="AD13" s="105">
        <v>0.24482758620689654</v>
      </c>
      <c r="AE13" s="53">
        <v>0.26190476190476192</v>
      </c>
      <c r="AF13" s="105">
        <v>0</v>
      </c>
      <c r="AG13" s="53">
        <v>0</v>
      </c>
      <c r="AH13" s="277">
        <v>0.17614424410540916</v>
      </c>
      <c r="AI13" s="277">
        <v>0</v>
      </c>
    </row>
    <row r="14" spans="1:36" s="28" customFormat="1" x14ac:dyDescent="0.3">
      <c r="A14" s="272"/>
      <c r="B14" s="97" t="s">
        <v>18</v>
      </c>
      <c r="C14" s="100" t="s">
        <v>84</v>
      </c>
      <c r="D14" s="105">
        <v>44.5</v>
      </c>
      <c r="E14" s="53">
        <v>55.9</v>
      </c>
      <c r="F14" s="53">
        <v>46.62</v>
      </c>
      <c r="G14" s="53">
        <v>0</v>
      </c>
      <c r="H14" s="53">
        <v>0</v>
      </c>
      <c r="I14" s="53">
        <v>0</v>
      </c>
      <c r="J14" s="105">
        <v>0</v>
      </c>
      <c r="K14" s="53">
        <v>0</v>
      </c>
      <c r="L14" s="53">
        <v>0</v>
      </c>
      <c r="M14" s="105">
        <v>9.1999999999999993</v>
      </c>
      <c r="N14" s="53">
        <v>2.2999999999999989</v>
      </c>
      <c r="O14" s="53">
        <v>-0.44999999999999929</v>
      </c>
      <c r="P14" s="53">
        <v>19.175000000000001</v>
      </c>
      <c r="Q14" s="53">
        <v>12.5</v>
      </c>
      <c r="R14" s="53">
        <v>56</v>
      </c>
      <c r="S14" s="105">
        <v>-22</v>
      </c>
      <c r="T14" s="53">
        <v>-24.5</v>
      </c>
      <c r="U14" s="53">
        <v>-19.7</v>
      </c>
      <c r="V14" s="105">
        <v>16.75</v>
      </c>
      <c r="W14" s="53">
        <v>11.15</v>
      </c>
      <c r="X14" s="53">
        <v>23.05</v>
      </c>
      <c r="Y14" s="105">
        <v>29.4</v>
      </c>
      <c r="Z14" s="53">
        <v>23</v>
      </c>
      <c r="AA14" s="53">
        <v>28.75</v>
      </c>
      <c r="AB14" s="105">
        <v>7.5</v>
      </c>
      <c r="AC14" s="53">
        <v>21.5</v>
      </c>
      <c r="AD14" s="105">
        <v>22.21</v>
      </c>
      <c r="AE14" s="53">
        <v>30.4</v>
      </c>
      <c r="AF14" s="105">
        <v>0</v>
      </c>
      <c r="AG14" s="53">
        <v>0</v>
      </c>
      <c r="AH14" s="277">
        <v>23</v>
      </c>
      <c r="AI14" s="277">
        <v>0</v>
      </c>
    </row>
    <row r="15" spans="1:36" s="28" customFormat="1" x14ac:dyDescent="0.3">
      <c r="A15" s="272"/>
      <c r="B15" s="97" t="s">
        <v>14</v>
      </c>
      <c r="C15" s="28" t="s">
        <v>133</v>
      </c>
      <c r="D15" s="105">
        <v>177.35135135135135</v>
      </c>
      <c r="E15" s="53">
        <v>205</v>
      </c>
      <c r="F15" s="53">
        <v>162.14285714285714</v>
      </c>
      <c r="G15" s="101" t="s">
        <v>253</v>
      </c>
      <c r="H15" s="101" t="s">
        <v>253</v>
      </c>
      <c r="I15" s="101" t="s">
        <v>253</v>
      </c>
      <c r="J15" s="105">
        <v>0</v>
      </c>
      <c r="K15" s="53">
        <v>0</v>
      </c>
      <c r="L15" s="53">
        <v>0</v>
      </c>
      <c r="M15" s="105">
        <v>74.147368421052633</v>
      </c>
      <c r="N15" s="53">
        <v>74.326470588235296</v>
      </c>
      <c r="O15" s="53">
        <v>90.442499999999995</v>
      </c>
      <c r="P15" s="53">
        <v>51.5</v>
      </c>
      <c r="Q15" s="53">
        <v>71</v>
      </c>
      <c r="R15" s="101">
        <v>51.3</v>
      </c>
      <c r="S15" s="105">
        <v>34</v>
      </c>
      <c r="T15" s="53">
        <v>39</v>
      </c>
      <c r="U15" s="53">
        <v>29</v>
      </c>
      <c r="V15" s="105">
        <v>109.86428571428571</v>
      </c>
      <c r="W15" s="53">
        <v>145</v>
      </c>
      <c r="X15" s="53">
        <v>132.35714285714286</v>
      </c>
      <c r="Y15" s="105">
        <v>198.5185185185185</v>
      </c>
      <c r="Z15" s="53">
        <v>205.85714285714286</v>
      </c>
      <c r="AA15" s="53">
        <v>190.72413793103448</v>
      </c>
      <c r="AB15" s="105">
        <v>125.125</v>
      </c>
      <c r="AC15" s="53">
        <v>106.78571428571429</v>
      </c>
      <c r="AD15" s="105">
        <v>211.72631578947369</v>
      </c>
      <c r="AE15" s="53">
        <v>217.78</v>
      </c>
      <c r="AF15" s="111" t="s">
        <v>249</v>
      </c>
      <c r="AG15" s="101" t="s">
        <v>249</v>
      </c>
      <c r="AH15" s="277">
        <v>126.63829787234043</v>
      </c>
      <c r="AI15" s="277" t="s">
        <v>249</v>
      </c>
    </row>
    <row r="16" spans="1:36" s="28" customFormat="1" x14ac:dyDescent="0.3">
      <c r="A16" s="272"/>
      <c r="B16" s="97" t="s">
        <v>85</v>
      </c>
      <c r="C16" s="28" t="s">
        <v>23</v>
      </c>
      <c r="D16" s="105">
        <v>0.31111111111111112</v>
      </c>
      <c r="E16" s="53">
        <v>0.32775119617224879</v>
      </c>
      <c r="F16" s="53">
        <v>0.20958083832335328</v>
      </c>
      <c r="G16" s="101" t="s">
        <v>253</v>
      </c>
      <c r="H16" s="101" t="s">
        <v>253</v>
      </c>
      <c r="I16" s="101" t="s">
        <v>253</v>
      </c>
      <c r="J16" s="108" t="s">
        <v>253</v>
      </c>
      <c r="K16" s="102" t="s">
        <v>253</v>
      </c>
      <c r="L16" s="102" t="s">
        <v>253</v>
      </c>
      <c r="M16" s="105">
        <v>0.72</v>
      </c>
      <c r="N16" s="53">
        <v>0.92</v>
      </c>
      <c r="O16" s="53">
        <v>0.53846153846153844</v>
      </c>
      <c r="P16" s="53">
        <v>0.49333333333333335</v>
      </c>
      <c r="Q16" s="53">
        <v>0.52500000000000002</v>
      </c>
      <c r="R16" s="53">
        <v>0.79569892473118276</v>
      </c>
      <c r="S16" s="105">
        <v>1.7058823529411764</v>
      </c>
      <c r="T16" s="53">
        <v>1.7435897435897436</v>
      </c>
      <c r="U16" s="53">
        <v>1.6551724137931034</v>
      </c>
      <c r="V16" s="105">
        <v>0.36283185840707965</v>
      </c>
      <c r="W16" s="53">
        <v>0.4</v>
      </c>
      <c r="X16" s="53">
        <v>0.29411764705882354</v>
      </c>
      <c r="Y16" s="105">
        <v>0.2537313432835821</v>
      </c>
      <c r="Z16" s="53">
        <v>0.28846153846153844</v>
      </c>
      <c r="AA16" s="53">
        <v>0.22797927461139897</v>
      </c>
      <c r="AB16" s="105">
        <v>0.59842519685039375</v>
      </c>
      <c r="AC16" s="53">
        <v>0.52252252252252251</v>
      </c>
      <c r="AD16" s="105">
        <v>0.16901408450704225</v>
      </c>
      <c r="AE16" s="53">
        <v>0.2818181818181818</v>
      </c>
      <c r="AF16" s="111" t="s">
        <v>249</v>
      </c>
      <c r="AG16" s="101" t="s">
        <v>249</v>
      </c>
      <c r="AH16" s="277">
        <v>0.86614173228346458</v>
      </c>
      <c r="AI16" s="277" t="s">
        <v>249</v>
      </c>
    </row>
    <row r="17" spans="1:37" s="28" customFormat="1" x14ac:dyDescent="0.3">
      <c r="A17" s="272"/>
      <c r="B17" s="97" t="s">
        <v>86</v>
      </c>
      <c r="C17" s="100" t="s">
        <v>87</v>
      </c>
      <c r="D17" s="105">
        <v>0.20224719101123595</v>
      </c>
      <c r="E17" s="53">
        <v>0.23443634324172744</v>
      </c>
      <c r="F17" s="53">
        <v>0.18764044943820224</v>
      </c>
      <c r="G17" s="53">
        <v>0</v>
      </c>
      <c r="H17" s="53">
        <v>0</v>
      </c>
      <c r="I17" s="53">
        <v>0</v>
      </c>
      <c r="J17" s="105">
        <v>0</v>
      </c>
      <c r="K17" s="53">
        <v>0</v>
      </c>
      <c r="L17" s="53">
        <v>0</v>
      </c>
      <c r="M17" s="105">
        <v>8.3426028921023354E-2</v>
      </c>
      <c r="N17" s="53">
        <v>8.3148558758314853E-2</v>
      </c>
      <c r="O17" s="53">
        <v>0.10122358175750834</v>
      </c>
      <c r="P17" s="53">
        <v>0.11755485893416928</v>
      </c>
      <c r="Q17" s="53">
        <v>0.12345679012345678</v>
      </c>
      <c r="R17" s="53">
        <v>0.12934631432545202</v>
      </c>
      <c r="S17" s="105">
        <v>3.8636363636363635E-2</v>
      </c>
      <c r="T17" s="53">
        <v>4.3771043771043773E-2</v>
      </c>
      <c r="U17" s="53">
        <v>3.3333333333333333E-2</v>
      </c>
      <c r="V17" s="105">
        <v>0.275609756097561</v>
      </c>
      <c r="W17" s="53">
        <v>0.36496350364963503</v>
      </c>
      <c r="X17" s="53">
        <v>0.33170731707317075</v>
      </c>
      <c r="Y17" s="105">
        <v>0.22558922558922559</v>
      </c>
      <c r="Z17" s="53">
        <v>0.2334455667789001</v>
      </c>
      <c r="AA17" s="53">
        <v>0.21661054994388329</v>
      </c>
      <c r="AB17" s="105">
        <v>0.13146997929606624</v>
      </c>
      <c r="AC17" s="53">
        <v>0.11502590673575129</v>
      </c>
      <c r="AD17" s="105">
        <v>0.24482758620689654</v>
      </c>
      <c r="AE17" s="53">
        <v>0.26190476190476192</v>
      </c>
      <c r="AF17" s="105">
        <v>0</v>
      </c>
      <c r="AG17" s="53">
        <v>0</v>
      </c>
      <c r="AH17" s="277">
        <v>0.17614424410540916</v>
      </c>
      <c r="AI17" s="277">
        <v>0</v>
      </c>
    </row>
    <row r="18" spans="1:37" s="28" customFormat="1" x14ac:dyDescent="0.3">
      <c r="A18" s="272"/>
      <c r="B18" s="97" t="s">
        <v>12</v>
      </c>
      <c r="C18" s="28" t="s">
        <v>13</v>
      </c>
      <c r="D18" s="105">
        <v>0.92783505154639179</v>
      </c>
      <c r="E18" s="53">
        <v>1.0245098039215685</v>
      </c>
      <c r="F18" s="53">
        <v>0.96531791907514453</v>
      </c>
      <c r="G18" s="101" t="s">
        <v>253</v>
      </c>
      <c r="H18" s="101" t="s">
        <v>253</v>
      </c>
      <c r="I18" s="101" t="s">
        <v>253</v>
      </c>
      <c r="J18" s="111" t="s">
        <v>253</v>
      </c>
      <c r="K18" s="101" t="s">
        <v>253</v>
      </c>
      <c r="L18" s="101" t="s">
        <v>253</v>
      </c>
      <c r="M18" s="105">
        <v>0.6</v>
      </c>
      <c r="N18" s="53">
        <v>0.66371681415929207</v>
      </c>
      <c r="O18" s="53">
        <v>0.7583333333333333</v>
      </c>
      <c r="P18" s="53">
        <v>1.6304347826086956</v>
      </c>
      <c r="Q18" s="53">
        <v>1.5384615384615385</v>
      </c>
      <c r="R18" s="53">
        <v>0.91176470588235292</v>
      </c>
      <c r="S18" s="105">
        <v>0.97142857142857142</v>
      </c>
      <c r="T18" s="53">
        <v>0.97499999999999998</v>
      </c>
      <c r="U18" s="53">
        <v>0.96666666666666667</v>
      </c>
      <c r="V18" s="105">
        <v>0.67664670658682635</v>
      </c>
      <c r="W18" s="53">
        <v>0.8875739644970414</v>
      </c>
      <c r="X18" s="53">
        <v>0.83435582822085885</v>
      </c>
      <c r="Y18" s="105">
        <v>6.28125</v>
      </c>
      <c r="Z18" s="53">
        <v>5.0731707317073171</v>
      </c>
      <c r="AA18" s="53">
        <v>7.72</v>
      </c>
      <c r="AB18" s="105">
        <v>1.1981132075471699</v>
      </c>
      <c r="AC18" s="53">
        <v>1.247191011235955</v>
      </c>
      <c r="AD18" s="105">
        <v>1.23121387283237</v>
      </c>
      <c r="AE18" s="53">
        <v>0.94827586206896552</v>
      </c>
      <c r="AF18" s="111" t="s">
        <v>249</v>
      </c>
      <c r="AG18" s="101" t="s">
        <v>249</v>
      </c>
      <c r="AH18" s="277">
        <v>1.1043478260869566</v>
      </c>
      <c r="AI18" s="277" t="s">
        <v>249</v>
      </c>
    </row>
    <row r="19" spans="1:37" s="28" customFormat="1" ht="12" customHeight="1" x14ac:dyDescent="0.3">
      <c r="A19" s="272"/>
      <c r="B19" s="97" t="s">
        <v>19</v>
      </c>
      <c r="C19" s="28" t="s">
        <v>20</v>
      </c>
      <c r="D19" s="105">
        <v>-120</v>
      </c>
      <c r="E19" s="53">
        <v>-159</v>
      </c>
      <c r="F19" s="53">
        <v>-119</v>
      </c>
      <c r="G19" s="101" t="s">
        <v>253</v>
      </c>
      <c r="H19" s="101" t="s">
        <v>253</v>
      </c>
      <c r="I19" s="101" t="s">
        <v>253</v>
      </c>
      <c r="J19" s="105">
        <v>82</v>
      </c>
      <c r="K19" s="53">
        <v>87</v>
      </c>
      <c r="L19" s="53">
        <v>85</v>
      </c>
      <c r="M19" s="105">
        <v>-18</v>
      </c>
      <c r="N19" s="53">
        <v>-28</v>
      </c>
      <c r="O19" s="53">
        <v>-28</v>
      </c>
      <c r="P19" s="53">
        <v>-59</v>
      </c>
      <c r="Q19" s="53">
        <v>-63</v>
      </c>
      <c r="R19" s="53">
        <v>-86</v>
      </c>
      <c r="S19" s="105">
        <v>13</v>
      </c>
      <c r="T19" s="53">
        <v>3</v>
      </c>
      <c r="U19" s="53">
        <v>23</v>
      </c>
      <c r="V19" s="105">
        <v>-87</v>
      </c>
      <c r="W19" s="53">
        <v>-129</v>
      </c>
      <c r="X19" s="53">
        <v>-103</v>
      </c>
      <c r="Y19" s="105">
        <v>-150</v>
      </c>
      <c r="Z19" s="53">
        <v>-165</v>
      </c>
      <c r="AA19" s="53">
        <v>-141</v>
      </c>
      <c r="AB19" s="105">
        <v>-93</v>
      </c>
      <c r="AC19" s="53">
        <v>-77</v>
      </c>
      <c r="AD19" s="105">
        <v>-159</v>
      </c>
      <c r="AE19" s="53">
        <v>-141</v>
      </c>
      <c r="AF19" s="111" t="s">
        <v>249</v>
      </c>
      <c r="AG19" s="101" t="s">
        <v>249</v>
      </c>
      <c r="AH19" s="277">
        <v>-33</v>
      </c>
      <c r="AI19" s="277">
        <v>0</v>
      </c>
    </row>
    <row r="20" spans="1:37" s="28" customFormat="1" x14ac:dyDescent="0.3">
      <c r="A20" s="272"/>
      <c r="B20" s="97" t="s">
        <v>21</v>
      </c>
      <c r="C20" s="28" t="s">
        <v>22</v>
      </c>
      <c r="D20" s="105">
        <v>0.5161290322580645</v>
      </c>
      <c r="E20" s="53">
        <v>0.74863387978142082</v>
      </c>
      <c r="F20" s="53">
        <v>0.34653465346534651</v>
      </c>
      <c r="G20" s="101" t="s">
        <v>253</v>
      </c>
      <c r="H20" s="101" t="s">
        <v>253</v>
      </c>
      <c r="I20" s="101" t="s">
        <v>253</v>
      </c>
      <c r="J20" s="105">
        <v>0.46739130434782611</v>
      </c>
      <c r="K20" s="53">
        <v>0.55645161290322576</v>
      </c>
      <c r="L20" s="53">
        <v>0.36986301369863012</v>
      </c>
      <c r="M20" s="105">
        <v>0.46153846153846156</v>
      </c>
      <c r="N20" s="53">
        <v>0.55200000000000005</v>
      </c>
      <c r="O20" s="53">
        <v>0.42982456140350878</v>
      </c>
      <c r="P20" s="53">
        <v>0.54411764705882348</v>
      </c>
      <c r="Q20" s="53">
        <v>0.54545454545454541</v>
      </c>
      <c r="R20" s="53">
        <v>0.80434782608695654</v>
      </c>
      <c r="S20" s="105">
        <v>1</v>
      </c>
      <c r="T20" s="53">
        <v>1</v>
      </c>
      <c r="U20" s="53">
        <v>1</v>
      </c>
      <c r="V20" s="105">
        <v>0.49397590361445781</v>
      </c>
      <c r="W20" s="53">
        <v>0.66666666666666663</v>
      </c>
      <c r="X20" s="53">
        <v>0.20725388601036268</v>
      </c>
      <c r="Y20" s="105">
        <v>0.46363636363636362</v>
      </c>
      <c r="Z20" s="53">
        <v>0.51282051282051277</v>
      </c>
      <c r="AA20" s="53">
        <v>0.42307692307692307</v>
      </c>
      <c r="AB20" s="105">
        <v>0.60317460317460314</v>
      </c>
      <c r="AC20" s="53">
        <v>0.5178571428571429</v>
      </c>
      <c r="AD20" s="105">
        <v>0.50704225352112675</v>
      </c>
      <c r="AE20" s="53">
        <v>0.46616541353383456</v>
      </c>
      <c r="AF20" s="111" t="s">
        <v>249</v>
      </c>
      <c r="AG20" s="101" t="s">
        <v>249</v>
      </c>
      <c r="AH20" s="277">
        <v>0.58510638297872342</v>
      </c>
      <c r="AI20" s="277" t="s">
        <v>249</v>
      </c>
    </row>
    <row r="21" spans="1:37" s="28" customFormat="1" x14ac:dyDescent="0.3">
      <c r="A21" s="272"/>
      <c r="B21" s="97" t="s">
        <v>2</v>
      </c>
      <c r="C21" s="100" t="s">
        <v>3</v>
      </c>
      <c r="D21" s="105">
        <v>0.7</v>
      </c>
      <c r="E21" s="53">
        <v>0.6116071428571429</v>
      </c>
      <c r="F21" s="53">
        <v>0.58333333333333337</v>
      </c>
      <c r="G21" s="53">
        <v>0</v>
      </c>
      <c r="H21" s="53">
        <v>0</v>
      </c>
      <c r="I21" s="53">
        <v>0</v>
      </c>
      <c r="J21" s="105">
        <v>0.55128205128205132</v>
      </c>
      <c r="K21" s="53">
        <v>0.6216216216216216</v>
      </c>
      <c r="L21" s="53">
        <v>0.52941176470588236</v>
      </c>
      <c r="M21" s="105">
        <v>0.62790697674418605</v>
      </c>
      <c r="N21" s="53">
        <v>0.71134020618556704</v>
      </c>
      <c r="O21" s="53">
        <v>0.620253164556962</v>
      </c>
      <c r="P21" s="53">
        <v>0.29838709677419356</v>
      </c>
      <c r="Q21" s="53">
        <v>0.32307692307692309</v>
      </c>
      <c r="R21" s="53">
        <v>1.0136986301369864</v>
      </c>
      <c r="S21" s="105">
        <v>0.72499999999999998</v>
      </c>
      <c r="T21" s="53">
        <v>0.75555555555555554</v>
      </c>
      <c r="U21" s="53">
        <v>0.68571428571428572</v>
      </c>
      <c r="V21" s="105">
        <v>0.50617283950617287</v>
      </c>
      <c r="W21" s="53">
        <v>0.69767441860465118</v>
      </c>
      <c r="X21" s="53">
        <v>0.59701492537313428</v>
      </c>
      <c r="Y21" s="105">
        <v>0.66233766233766234</v>
      </c>
      <c r="Z21" s="53">
        <v>0.72289156626506024</v>
      </c>
      <c r="AA21" s="53">
        <v>0.61971830985915488</v>
      </c>
      <c r="AB21" s="105">
        <v>1.027027027027027</v>
      </c>
      <c r="AC21" s="53">
        <v>1.2083333333333333</v>
      </c>
      <c r="AD21" s="105">
        <v>0.72</v>
      </c>
      <c r="AE21" s="53">
        <v>0.70454545454545459</v>
      </c>
      <c r="AF21" s="105">
        <v>0</v>
      </c>
      <c r="AG21" s="53">
        <v>0</v>
      </c>
      <c r="AH21" s="277">
        <v>1.1458333333333333</v>
      </c>
      <c r="AI21" s="277">
        <v>0</v>
      </c>
    </row>
    <row r="22" spans="1:37" x14ac:dyDescent="0.3">
      <c r="B22" s="81"/>
      <c r="C22" s="26"/>
      <c r="G22" s="51"/>
      <c r="H22" s="35"/>
      <c r="I22" s="35"/>
      <c r="J22" s="105"/>
      <c r="K22" s="35"/>
      <c r="L22" s="35"/>
      <c r="M22" s="105"/>
      <c r="N22" s="35"/>
      <c r="O22" s="35"/>
      <c r="P22" s="51"/>
      <c r="Q22" s="35"/>
      <c r="R22" s="35"/>
      <c r="S22" s="105"/>
      <c r="T22" s="35"/>
      <c r="U22" s="35"/>
      <c r="V22" s="105"/>
      <c r="W22" s="35"/>
      <c r="X22" s="35"/>
      <c r="Y22" s="105"/>
      <c r="Z22" s="35"/>
      <c r="AA22" s="35"/>
      <c r="AB22" s="105"/>
      <c r="AC22" s="35"/>
      <c r="AD22" s="105"/>
      <c r="AE22" s="35"/>
      <c r="AF22" s="105"/>
      <c r="AG22" s="35"/>
    </row>
    <row r="24" spans="1:37" s="45" customFormat="1" ht="16.5" customHeight="1" x14ac:dyDescent="0.3">
      <c r="A24" s="271">
        <v>1</v>
      </c>
      <c r="B24" s="360" t="s">
        <v>365</v>
      </c>
      <c r="C24" s="360"/>
      <c r="D24" s="107" t="s">
        <v>191</v>
      </c>
      <c r="E24" s="45" t="s">
        <v>191</v>
      </c>
      <c r="F24" s="45" t="s">
        <v>191</v>
      </c>
      <c r="G24" s="56" t="s">
        <v>252</v>
      </c>
      <c r="H24" s="45" t="s">
        <v>252</v>
      </c>
      <c r="I24" s="45" t="s">
        <v>252</v>
      </c>
      <c r="J24" s="107" t="s">
        <v>191</v>
      </c>
      <c r="K24" s="45" t="s">
        <v>191</v>
      </c>
      <c r="L24" s="45" t="s">
        <v>191</v>
      </c>
      <c r="M24" s="107" t="s">
        <v>191</v>
      </c>
      <c r="N24" s="45" t="s">
        <v>191</v>
      </c>
      <c r="O24" s="45" t="s">
        <v>191</v>
      </c>
      <c r="P24" s="58" t="s">
        <v>191</v>
      </c>
      <c r="Q24" s="54" t="s">
        <v>191</v>
      </c>
      <c r="R24" s="54" t="s">
        <v>191</v>
      </c>
      <c r="S24" s="107" t="s">
        <v>191</v>
      </c>
      <c r="T24" s="45" t="s">
        <v>191</v>
      </c>
      <c r="U24" s="45" t="s">
        <v>191</v>
      </c>
      <c r="V24" s="107" t="s">
        <v>191</v>
      </c>
      <c r="W24" s="45" t="s">
        <v>191</v>
      </c>
      <c r="X24" s="45" t="s">
        <v>191</v>
      </c>
      <c r="Y24" s="107" t="s">
        <v>191</v>
      </c>
      <c r="Z24" s="45" t="s">
        <v>191</v>
      </c>
      <c r="AA24" s="45" t="s">
        <v>191</v>
      </c>
      <c r="AB24" s="107" t="s">
        <v>191</v>
      </c>
      <c r="AC24" s="45" t="s">
        <v>191</v>
      </c>
      <c r="AD24" s="107" t="s">
        <v>191</v>
      </c>
      <c r="AE24" s="45" t="s">
        <v>191</v>
      </c>
      <c r="AF24" s="107" t="s">
        <v>252</v>
      </c>
      <c r="AG24" s="45" t="s">
        <v>252</v>
      </c>
      <c r="AH24" s="278" t="s">
        <v>604</v>
      </c>
      <c r="AI24" s="278" t="s">
        <v>605</v>
      </c>
    </row>
    <row r="25" spans="1:37" s="45" customFormat="1" x14ac:dyDescent="0.3">
      <c r="A25" s="271" t="s">
        <v>263</v>
      </c>
      <c r="B25" s="358" t="s">
        <v>275</v>
      </c>
      <c r="C25" s="358"/>
      <c r="D25" s="108"/>
      <c r="E25" s="36"/>
      <c r="F25" s="36"/>
      <c r="G25" s="56" t="s">
        <v>191</v>
      </c>
      <c r="H25" s="45" t="s">
        <v>191</v>
      </c>
      <c r="I25" s="45" t="s">
        <v>191</v>
      </c>
      <c r="J25" s="107"/>
      <c r="M25" s="107"/>
      <c r="P25" s="56" t="s">
        <v>191</v>
      </c>
      <c r="Q25" s="45" t="s">
        <v>191</v>
      </c>
      <c r="R25" s="45" t="s">
        <v>191</v>
      </c>
      <c r="S25" s="107"/>
      <c r="V25" s="107"/>
      <c r="Y25" s="107"/>
      <c r="AB25" s="107"/>
      <c r="AD25" s="107"/>
      <c r="AF25" s="107" t="s">
        <v>191</v>
      </c>
      <c r="AG25" s="45" t="s">
        <v>191</v>
      </c>
      <c r="AH25" s="278"/>
      <c r="AI25" s="278" t="s">
        <v>604</v>
      </c>
    </row>
    <row r="26" spans="1:37" s="45" customFormat="1" x14ac:dyDescent="0.3">
      <c r="A26" s="271" t="s">
        <v>264</v>
      </c>
      <c r="B26" s="359" t="s">
        <v>254</v>
      </c>
      <c r="C26" s="359"/>
      <c r="D26" s="108"/>
      <c r="E26" s="36"/>
      <c r="F26" s="36"/>
      <c r="G26" s="56" t="s">
        <v>191</v>
      </c>
      <c r="H26" s="45" t="s">
        <v>191</v>
      </c>
      <c r="I26" s="45" t="s">
        <v>191</v>
      </c>
      <c r="J26" s="107"/>
      <c r="M26" s="107"/>
      <c r="P26" s="56" t="s">
        <v>191</v>
      </c>
      <c r="Q26" s="45" t="s">
        <v>191</v>
      </c>
      <c r="R26" s="45" t="s">
        <v>191</v>
      </c>
      <c r="S26" s="107"/>
      <c r="V26" s="107"/>
      <c r="Y26" s="107"/>
      <c r="AB26" s="107"/>
      <c r="AD26" s="107"/>
      <c r="AF26" s="112" t="s">
        <v>191</v>
      </c>
      <c r="AG26" s="54" t="s">
        <v>191</v>
      </c>
      <c r="AH26" s="278"/>
      <c r="AI26" s="278" t="s">
        <v>604</v>
      </c>
    </row>
    <row r="27" spans="1:37" s="45" customFormat="1" x14ac:dyDescent="0.3">
      <c r="A27" s="271" t="s">
        <v>265</v>
      </c>
      <c r="B27" s="358" t="s">
        <v>255</v>
      </c>
      <c r="C27" s="358"/>
      <c r="D27" s="108"/>
      <c r="E27" s="36"/>
      <c r="F27" s="36"/>
      <c r="G27" s="56" t="s">
        <v>191</v>
      </c>
      <c r="H27" s="45" t="s">
        <v>191</v>
      </c>
      <c r="I27" s="45" t="s">
        <v>191</v>
      </c>
      <c r="J27" s="107"/>
      <c r="M27" s="107"/>
      <c r="P27" s="56" t="s">
        <v>252</v>
      </c>
      <c r="Q27" s="45" t="s">
        <v>252</v>
      </c>
      <c r="R27" s="45" t="s">
        <v>252</v>
      </c>
      <c r="S27" s="107"/>
      <c r="V27" s="107"/>
      <c r="Y27" s="107"/>
      <c r="AB27" s="107"/>
      <c r="AD27" s="107"/>
      <c r="AF27" s="107" t="s">
        <v>191</v>
      </c>
      <c r="AG27" s="45" t="s">
        <v>191</v>
      </c>
      <c r="AH27" s="278"/>
      <c r="AI27" s="278" t="s">
        <v>604</v>
      </c>
    </row>
    <row r="28" spans="1:37" s="45" customFormat="1" ht="16.5" customHeight="1" x14ac:dyDescent="0.3">
      <c r="A28" s="271" t="s">
        <v>266</v>
      </c>
      <c r="B28" s="358" t="s">
        <v>256</v>
      </c>
      <c r="C28" s="358"/>
      <c r="D28" s="108"/>
      <c r="E28" s="36"/>
      <c r="F28" s="36"/>
      <c r="G28" s="56" t="s">
        <v>191</v>
      </c>
      <c r="H28" s="45" t="s">
        <v>191</v>
      </c>
      <c r="I28" s="45" t="s">
        <v>191</v>
      </c>
      <c r="J28" s="107"/>
      <c r="M28" s="107"/>
      <c r="P28" s="358" t="s">
        <v>610</v>
      </c>
      <c r="Q28" s="358"/>
      <c r="R28" s="358"/>
      <c r="S28" s="107"/>
      <c r="V28" s="107"/>
      <c r="Y28" s="107"/>
      <c r="AB28" s="107"/>
      <c r="AD28" s="107"/>
      <c r="AF28" s="107" t="s">
        <v>191</v>
      </c>
      <c r="AG28" s="45" t="s">
        <v>191</v>
      </c>
      <c r="AH28" s="278"/>
      <c r="AI28" s="278" t="s">
        <v>604</v>
      </c>
    </row>
    <row r="29" spans="1:37" s="45" customFormat="1" x14ac:dyDescent="0.3">
      <c r="A29" s="271" t="s">
        <v>267</v>
      </c>
      <c r="B29" s="358" t="s">
        <v>257</v>
      </c>
      <c r="C29" s="358"/>
      <c r="D29" s="108"/>
      <c r="E29" s="36"/>
      <c r="F29" s="36"/>
      <c r="G29" s="56" t="s">
        <v>252</v>
      </c>
      <c r="H29" s="45" t="s">
        <v>252</v>
      </c>
      <c r="I29" s="45" t="s">
        <v>252</v>
      </c>
      <c r="J29" s="107"/>
      <c r="M29" s="107"/>
      <c r="P29" s="56"/>
      <c r="S29" s="107"/>
      <c r="V29" s="107"/>
      <c r="Y29" s="107"/>
      <c r="AB29" s="107"/>
      <c r="AD29" s="107"/>
      <c r="AF29" s="107" t="s">
        <v>252</v>
      </c>
      <c r="AG29" s="45" t="s">
        <v>252</v>
      </c>
      <c r="AH29" s="278"/>
      <c r="AI29" s="278" t="s">
        <v>605</v>
      </c>
    </row>
    <row r="30" spans="1:37" s="45" customFormat="1" x14ac:dyDescent="0.3">
      <c r="A30" s="271"/>
      <c r="D30" s="108"/>
      <c r="E30" s="36"/>
      <c r="F30" s="36"/>
      <c r="G30" s="358" t="s">
        <v>258</v>
      </c>
      <c r="H30" s="358"/>
      <c r="I30" s="358"/>
      <c r="J30" s="107"/>
      <c r="M30" s="107"/>
      <c r="P30" s="56"/>
      <c r="S30" s="107"/>
      <c r="V30" s="107"/>
      <c r="Y30" s="107"/>
      <c r="AB30" s="107"/>
      <c r="AD30" s="107"/>
      <c r="AF30" s="358" t="s">
        <v>469</v>
      </c>
      <c r="AG30" s="358"/>
      <c r="AH30" s="278"/>
      <c r="AI30" s="42" t="s">
        <v>258</v>
      </c>
      <c r="AJ30" s="42"/>
      <c r="AK30" s="42"/>
    </row>
    <row r="31" spans="1:37" s="45" customFormat="1" x14ac:dyDescent="0.3">
      <c r="A31" s="271" t="s">
        <v>259</v>
      </c>
      <c r="B31" s="361" t="s">
        <v>260</v>
      </c>
      <c r="C31" s="361"/>
      <c r="D31" s="108" t="s">
        <v>252</v>
      </c>
      <c r="E31" s="36" t="s">
        <v>252</v>
      </c>
      <c r="F31" s="36" t="s">
        <v>252</v>
      </c>
      <c r="G31" s="56"/>
      <c r="J31" s="108" t="s">
        <v>252</v>
      </c>
      <c r="K31" s="36" t="s">
        <v>252</v>
      </c>
      <c r="L31" s="36" t="s">
        <v>252</v>
      </c>
      <c r="M31" s="109" t="s">
        <v>252</v>
      </c>
      <c r="N31" s="98" t="s">
        <v>252</v>
      </c>
      <c r="O31" s="98" t="s">
        <v>252</v>
      </c>
      <c r="P31" s="56"/>
      <c r="S31" s="108" t="s">
        <v>252</v>
      </c>
      <c r="T31" s="36" t="s">
        <v>252</v>
      </c>
      <c r="U31" s="36" t="s">
        <v>252</v>
      </c>
      <c r="V31" s="109" t="s">
        <v>252</v>
      </c>
      <c r="W31" s="98" t="s">
        <v>252</v>
      </c>
      <c r="X31" s="98" t="s">
        <v>252</v>
      </c>
      <c r="Y31" s="109" t="s">
        <v>252</v>
      </c>
      <c r="Z31" s="98" t="s">
        <v>252</v>
      </c>
      <c r="AA31" s="98" t="s">
        <v>252</v>
      </c>
      <c r="AB31" s="109" t="s">
        <v>252</v>
      </c>
      <c r="AC31" s="98" t="s">
        <v>252</v>
      </c>
      <c r="AD31" s="109" t="s">
        <v>252</v>
      </c>
      <c r="AE31" s="94" t="s">
        <v>252</v>
      </c>
      <c r="AF31" s="107"/>
      <c r="AH31" s="278" t="s">
        <v>605</v>
      </c>
      <c r="AI31" s="278"/>
    </row>
    <row r="32" spans="1:37" s="45" customFormat="1" x14ac:dyDescent="0.3">
      <c r="A32" s="271" t="s">
        <v>268</v>
      </c>
      <c r="B32" s="359" t="s">
        <v>345</v>
      </c>
      <c r="C32" s="359"/>
      <c r="D32" s="108" t="s">
        <v>252</v>
      </c>
      <c r="E32" s="36" t="s">
        <v>252</v>
      </c>
      <c r="F32" s="36" t="s">
        <v>252</v>
      </c>
      <c r="G32" s="56"/>
      <c r="J32" s="107" t="s">
        <v>191</v>
      </c>
      <c r="K32" s="45" t="s">
        <v>191</v>
      </c>
      <c r="L32" s="45" t="s">
        <v>191</v>
      </c>
      <c r="M32" s="117" t="s">
        <v>191</v>
      </c>
      <c r="N32" s="94" t="s">
        <v>191</v>
      </c>
      <c r="O32" s="94" t="s">
        <v>191</v>
      </c>
      <c r="P32" s="56"/>
      <c r="S32" s="107" t="s">
        <v>191</v>
      </c>
      <c r="T32" s="45" t="s">
        <v>191</v>
      </c>
      <c r="U32" s="45" t="s">
        <v>191</v>
      </c>
      <c r="V32" s="117" t="s">
        <v>252</v>
      </c>
      <c r="W32" s="94" t="s">
        <v>191</v>
      </c>
      <c r="X32" s="94" t="s">
        <v>252</v>
      </c>
      <c r="Y32" s="117" t="s">
        <v>252</v>
      </c>
      <c r="Z32" s="94" t="s">
        <v>191</v>
      </c>
      <c r="AA32" s="94" t="s">
        <v>252</v>
      </c>
      <c r="AB32" s="109" t="s">
        <v>191</v>
      </c>
      <c r="AC32" s="98" t="s">
        <v>191</v>
      </c>
      <c r="AD32" s="109" t="s">
        <v>252</v>
      </c>
      <c r="AE32" s="94" t="s">
        <v>252</v>
      </c>
      <c r="AF32" s="107"/>
      <c r="AH32" s="278" t="s">
        <v>605</v>
      </c>
      <c r="AI32" s="278"/>
    </row>
    <row r="33" spans="1:35" s="45" customFormat="1" x14ac:dyDescent="0.3">
      <c r="A33" s="271" t="s">
        <v>269</v>
      </c>
      <c r="B33" s="359" t="s">
        <v>270</v>
      </c>
      <c r="C33" s="359"/>
      <c r="D33" s="108" t="s">
        <v>252</v>
      </c>
      <c r="E33" s="102" t="s">
        <v>252</v>
      </c>
      <c r="F33" s="102" t="s">
        <v>252</v>
      </c>
      <c r="G33" s="56"/>
      <c r="J33" s="107"/>
      <c r="M33" s="108"/>
      <c r="N33" s="36"/>
      <c r="O33" s="36"/>
      <c r="P33" s="56"/>
      <c r="S33" s="107"/>
      <c r="V33" s="109" t="s">
        <v>252</v>
      </c>
      <c r="W33" s="98"/>
      <c r="X33" s="98" t="s">
        <v>252</v>
      </c>
      <c r="Y33" s="109" t="s">
        <v>252</v>
      </c>
      <c r="Z33" s="98"/>
      <c r="AA33" s="98" t="s">
        <v>252</v>
      </c>
      <c r="AB33" s="109"/>
      <c r="AC33" s="98"/>
      <c r="AD33" s="109" t="s">
        <v>252</v>
      </c>
      <c r="AE33" s="94" t="s">
        <v>252</v>
      </c>
      <c r="AF33" s="107"/>
      <c r="AH33" s="278" t="s">
        <v>604</v>
      </c>
      <c r="AI33" s="278"/>
    </row>
    <row r="34" spans="1:35" s="45" customFormat="1" x14ac:dyDescent="0.3">
      <c r="A34" s="271"/>
      <c r="D34" s="362" t="s">
        <v>608</v>
      </c>
      <c r="E34" s="362"/>
      <c r="F34" s="362"/>
      <c r="G34" s="56"/>
      <c r="J34" s="107"/>
      <c r="M34" s="361"/>
      <c r="N34" s="361"/>
      <c r="O34" s="361"/>
      <c r="P34" s="56"/>
      <c r="S34" s="107"/>
      <c r="V34" s="363" t="s">
        <v>271</v>
      </c>
      <c r="W34" s="363"/>
      <c r="X34" s="363"/>
      <c r="Y34" s="363" t="s">
        <v>608</v>
      </c>
      <c r="Z34" s="363"/>
      <c r="AA34" s="363"/>
      <c r="AB34" s="118"/>
      <c r="AC34" s="119"/>
      <c r="AD34" s="118"/>
      <c r="AE34" s="94"/>
      <c r="AF34" s="107"/>
      <c r="AH34" s="278"/>
      <c r="AI34" s="278"/>
    </row>
    <row r="35" spans="1:35" s="91" customFormat="1" x14ac:dyDescent="0.3">
      <c r="A35" s="271" t="s">
        <v>334</v>
      </c>
      <c r="B35" s="358" t="s">
        <v>335</v>
      </c>
      <c r="C35" s="358"/>
      <c r="D35" s="102"/>
      <c r="E35" s="102"/>
      <c r="F35" s="102"/>
      <c r="G35" s="95"/>
      <c r="J35" s="107"/>
      <c r="M35" s="108"/>
      <c r="N35" s="92"/>
      <c r="O35" s="92"/>
      <c r="P35" s="95"/>
      <c r="S35" s="107"/>
      <c r="V35" s="109"/>
      <c r="W35" s="98"/>
      <c r="X35" s="98"/>
      <c r="Y35" s="109"/>
      <c r="Z35" s="98"/>
      <c r="AA35" s="98"/>
      <c r="AB35" s="109" t="s">
        <v>329</v>
      </c>
      <c r="AC35" s="98" t="s">
        <v>329</v>
      </c>
      <c r="AD35" s="109" t="s">
        <v>329</v>
      </c>
      <c r="AE35" s="94" t="s">
        <v>332</v>
      </c>
      <c r="AF35" s="107"/>
      <c r="AH35" s="278" t="s">
        <v>605</v>
      </c>
      <c r="AI35" s="278"/>
    </row>
    <row r="36" spans="1:35" s="45" customFormat="1" x14ac:dyDescent="0.3">
      <c r="A36" s="271" t="s">
        <v>288</v>
      </c>
      <c r="B36" s="361" t="s">
        <v>276</v>
      </c>
      <c r="C36" s="361"/>
      <c r="D36" s="107"/>
      <c r="G36" s="56"/>
      <c r="J36" s="107"/>
      <c r="M36" s="107"/>
      <c r="P36" s="56"/>
      <c r="S36" s="107"/>
      <c r="V36" s="117"/>
      <c r="W36" s="94"/>
      <c r="X36" s="94"/>
      <c r="Y36" s="117"/>
      <c r="Z36" s="94"/>
      <c r="AA36" s="94"/>
      <c r="AB36" s="117"/>
      <c r="AC36" s="94"/>
      <c r="AD36" s="117" t="s">
        <v>191</v>
      </c>
      <c r="AE36" s="94" t="s">
        <v>191</v>
      </c>
      <c r="AF36" s="107"/>
      <c r="AH36" s="278" t="s">
        <v>604</v>
      </c>
      <c r="AI36" s="278"/>
    </row>
    <row r="37" spans="1:35" s="45" customFormat="1" x14ac:dyDescent="0.3">
      <c r="A37" s="271" t="s">
        <v>273</v>
      </c>
      <c r="B37" s="360" t="s">
        <v>346</v>
      </c>
      <c r="C37" s="360"/>
      <c r="D37" s="107"/>
      <c r="G37" s="56"/>
      <c r="J37" s="107"/>
      <c r="M37" s="112"/>
      <c r="N37" s="54"/>
      <c r="O37" s="54"/>
      <c r="P37" s="56"/>
      <c r="S37" s="112"/>
      <c r="T37" s="54"/>
      <c r="U37" s="54"/>
      <c r="V37" s="117"/>
      <c r="W37" s="94"/>
      <c r="X37" s="94"/>
      <c r="Y37" s="117"/>
      <c r="Z37" s="94"/>
      <c r="AA37" s="94"/>
      <c r="AB37" s="117"/>
      <c r="AC37" s="94"/>
      <c r="AD37" s="117" t="s">
        <v>191</v>
      </c>
      <c r="AE37" s="94" t="s">
        <v>191</v>
      </c>
      <c r="AF37" s="107"/>
      <c r="AH37" s="278" t="s">
        <v>605</v>
      </c>
      <c r="AI37" s="278"/>
    </row>
    <row r="38" spans="1:35" s="45" customFormat="1" x14ac:dyDescent="0.3">
      <c r="A38" s="271" t="s">
        <v>274</v>
      </c>
      <c r="B38" s="361" t="s">
        <v>277</v>
      </c>
      <c r="C38" s="361"/>
      <c r="D38" s="108"/>
      <c r="E38" s="36"/>
      <c r="F38" s="36"/>
      <c r="G38" s="56"/>
      <c r="J38" s="108"/>
      <c r="K38" s="36"/>
      <c r="L38" s="36"/>
      <c r="M38" s="358"/>
      <c r="N38" s="358"/>
      <c r="O38" s="358"/>
      <c r="P38" s="56"/>
      <c r="S38" s="358"/>
      <c r="T38" s="358"/>
      <c r="U38" s="358"/>
      <c r="V38" s="109"/>
      <c r="W38" s="98"/>
      <c r="X38" s="98"/>
      <c r="Y38" s="109"/>
      <c r="Z38" s="98"/>
      <c r="AA38" s="98"/>
      <c r="AB38" s="359"/>
      <c r="AC38" s="359"/>
      <c r="AD38" s="117" t="s">
        <v>252</v>
      </c>
      <c r="AE38" s="94" t="s">
        <v>252</v>
      </c>
      <c r="AF38" s="107"/>
      <c r="AH38" s="278" t="s">
        <v>606</v>
      </c>
      <c r="AI38" s="278"/>
    </row>
    <row r="39" spans="1:35" s="45" customFormat="1" x14ac:dyDescent="0.3">
      <c r="A39" s="271" t="s">
        <v>282</v>
      </c>
      <c r="B39" s="361" t="s">
        <v>278</v>
      </c>
      <c r="C39" s="361"/>
      <c r="D39" s="109"/>
      <c r="E39" s="98"/>
      <c r="F39" s="98"/>
      <c r="G39" s="56"/>
      <c r="J39" s="358"/>
      <c r="K39" s="358"/>
      <c r="L39" s="358"/>
      <c r="M39" s="107"/>
      <c r="P39" s="56"/>
      <c r="S39" s="107"/>
      <c r="V39" s="363"/>
      <c r="W39" s="363"/>
      <c r="X39" s="363"/>
      <c r="Y39" s="363"/>
      <c r="Z39" s="363"/>
      <c r="AA39" s="363"/>
      <c r="AB39" s="117"/>
      <c r="AC39" s="94"/>
      <c r="AD39" s="364" t="s">
        <v>272</v>
      </c>
      <c r="AE39" s="364"/>
      <c r="AF39" s="107"/>
      <c r="AH39" s="278"/>
      <c r="AI39" s="278"/>
    </row>
    <row r="40" spans="1:35" s="45" customFormat="1" x14ac:dyDescent="0.3">
      <c r="A40" s="271"/>
      <c r="D40" s="363"/>
      <c r="E40" s="363"/>
      <c r="F40" s="363"/>
      <c r="G40" s="56"/>
      <c r="J40" s="107"/>
      <c r="M40" s="107"/>
      <c r="P40" s="56"/>
      <c r="S40" s="107"/>
      <c r="V40" s="117"/>
      <c r="W40" s="94"/>
      <c r="X40" s="94"/>
      <c r="Y40" s="117"/>
      <c r="Z40" s="94"/>
      <c r="AA40" s="94"/>
      <c r="AB40" s="117"/>
      <c r="AC40" s="94"/>
      <c r="AD40" s="117"/>
      <c r="AE40" s="94"/>
      <c r="AF40" s="107"/>
      <c r="AH40" s="278"/>
      <c r="AI40" s="278"/>
    </row>
    <row r="41" spans="1:35" s="45" customFormat="1" x14ac:dyDescent="0.3">
      <c r="A41" s="271" t="s">
        <v>289</v>
      </c>
      <c r="B41" s="361" t="s">
        <v>279</v>
      </c>
      <c r="C41" s="361"/>
      <c r="D41" s="108"/>
      <c r="E41" s="36"/>
      <c r="F41" s="36"/>
      <c r="G41" s="56"/>
      <c r="J41" s="107"/>
      <c r="M41" s="107"/>
      <c r="P41" s="56"/>
      <c r="S41" s="107"/>
      <c r="V41" s="117"/>
      <c r="W41" s="94"/>
      <c r="X41" s="94"/>
      <c r="Y41" s="117"/>
      <c r="Z41" s="94"/>
      <c r="AA41" s="94"/>
      <c r="AB41" s="117"/>
      <c r="AC41" s="94"/>
      <c r="AD41" s="117"/>
      <c r="AE41" s="94"/>
      <c r="AF41" s="107"/>
      <c r="AH41" s="278"/>
      <c r="AI41" s="278"/>
    </row>
    <row r="42" spans="1:35" s="45" customFormat="1" x14ac:dyDescent="0.3">
      <c r="A42" s="271" t="s">
        <v>290</v>
      </c>
      <c r="B42" s="361" t="s">
        <v>280</v>
      </c>
      <c r="C42" s="361"/>
      <c r="D42" s="108"/>
      <c r="E42" s="36"/>
      <c r="F42" s="36"/>
      <c r="G42" s="56"/>
      <c r="J42" s="107"/>
      <c r="M42" s="107"/>
      <c r="P42" s="56"/>
      <c r="S42" s="107"/>
      <c r="V42" s="117"/>
      <c r="W42" s="94"/>
      <c r="X42" s="94"/>
      <c r="Y42" s="117"/>
      <c r="Z42" s="94"/>
      <c r="AA42" s="94"/>
      <c r="AB42" s="117"/>
      <c r="AC42" s="94"/>
      <c r="AD42" s="117"/>
      <c r="AE42" s="94"/>
      <c r="AF42" s="107"/>
      <c r="AH42" s="278"/>
      <c r="AI42" s="278"/>
    </row>
    <row r="43" spans="1:35" x14ac:dyDescent="0.3">
      <c r="A43" s="271" t="s">
        <v>291</v>
      </c>
      <c r="B43" s="361" t="s">
        <v>281</v>
      </c>
      <c r="C43" s="361"/>
      <c r="S43" s="107"/>
      <c r="T43" s="45"/>
      <c r="U43" s="45"/>
      <c r="V43" s="120"/>
      <c r="W43" s="121"/>
      <c r="X43" s="121"/>
      <c r="Y43" s="120"/>
      <c r="Z43" s="121"/>
      <c r="AA43" s="121"/>
      <c r="AB43" s="120"/>
      <c r="AC43" s="121"/>
      <c r="AD43" s="120"/>
      <c r="AE43" s="121"/>
    </row>
    <row r="44" spans="1:35" x14ac:dyDescent="0.3">
      <c r="A44" s="271" t="s">
        <v>292</v>
      </c>
      <c r="B44" s="361" t="s">
        <v>283</v>
      </c>
      <c r="C44" s="361"/>
      <c r="S44" s="108"/>
      <c r="T44" s="36"/>
      <c r="U44" s="36"/>
      <c r="V44" s="120"/>
      <c r="W44" s="121"/>
      <c r="X44" s="121"/>
      <c r="Y44" s="120"/>
      <c r="Z44" s="121"/>
      <c r="AA44" s="121"/>
      <c r="AB44" s="120"/>
      <c r="AC44" s="121"/>
      <c r="AD44" s="120"/>
      <c r="AE44" s="121"/>
    </row>
    <row r="45" spans="1:35" x14ac:dyDescent="0.3">
      <c r="S45" s="363"/>
      <c r="T45" s="363"/>
      <c r="U45" s="363"/>
      <c r="V45" s="120"/>
      <c r="W45" s="121"/>
      <c r="X45" s="121"/>
      <c r="Y45" s="120"/>
      <c r="Z45" s="121"/>
      <c r="AA45" s="121"/>
      <c r="AB45" s="120"/>
      <c r="AC45" s="121"/>
      <c r="AD45" s="120"/>
      <c r="AE45" s="121"/>
    </row>
    <row r="46" spans="1:35" x14ac:dyDescent="0.3">
      <c r="A46" s="271" t="s">
        <v>284</v>
      </c>
      <c r="B46" s="359" t="s">
        <v>285</v>
      </c>
      <c r="C46" s="359"/>
      <c r="J46" s="110" t="s">
        <v>329</v>
      </c>
      <c r="K46" s="24" t="s">
        <v>332</v>
      </c>
      <c r="L46" s="24" t="s">
        <v>329</v>
      </c>
      <c r="M46" s="108" t="s">
        <v>252</v>
      </c>
      <c r="N46" s="36" t="s">
        <v>252</v>
      </c>
      <c r="O46" s="36" t="s">
        <v>252</v>
      </c>
      <c r="S46" s="108" t="s">
        <v>473</v>
      </c>
      <c r="T46" s="36" t="s">
        <v>473</v>
      </c>
      <c r="U46" s="36" t="s">
        <v>473</v>
      </c>
      <c r="V46" s="120"/>
      <c r="W46" s="94" t="s">
        <v>332</v>
      </c>
      <c r="X46" s="94"/>
      <c r="Y46" s="117"/>
      <c r="Z46" s="94" t="s">
        <v>329</v>
      </c>
      <c r="AA46" s="121"/>
      <c r="AB46" s="117" t="s">
        <v>252</v>
      </c>
      <c r="AC46" s="94" t="s">
        <v>252</v>
      </c>
      <c r="AD46" s="120"/>
      <c r="AE46" s="121"/>
    </row>
    <row r="47" spans="1:35" x14ac:dyDescent="0.3">
      <c r="A47" s="271" t="s">
        <v>293</v>
      </c>
      <c r="B47" s="361" t="s">
        <v>286</v>
      </c>
      <c r="C47" s="361"/>
      <c r="J47" s="110" t="s">
        <v>327</v>
      </c>
      <c r="K47" s="24" t="s">
        <v>328</v>
      </c>
      <c r="L47" s="24" t="s">
        <v>328</v>
      </c>
      <c r="M47" s="108" t="s">
        <v>252</v>
      </c>
      <c r="N47" s="36" t="s">
        <v>252</v>
      </c>
      <c r="O47" s="36" t="s">
        <v>252</v>
      </c>
      <c r="S47" s="107" t="s">
        <v>474</v>
      </c>
      <c r="T47" s="45" t="s">
        <v>474</v>
      </c>
      <c r="U47" s="45" t="s">
        <v>475</v>
      </c>
      <c r="V47" s="120"/>
      <c r="W47" s="94" t="s">
        <v>327</v>
      </c>
      <c r="X47" s="94"/>
      <c r="Y47" s="117"/>
      <c r="Z47" s="94" t="s">
        <v>329</v>
      </c>
      <c r="AA47" s="121"/>
      <c r="AB47" s="117" t="s">
        <v>287</v>
      </c>
      <c r="AC47" s="94" t="s">
        <v>252</v>
      </c>
      <c r="AD47" s="120"/>
      <c r="AE47" s="121"/>
    </row>
    <row r="48" spans="1:35" x14ac:dyDescent="0.3">
      <c r="M48" s="363" t="s">
        <v>608</v>
      </c>
      <c r="N48" s="363"/>
      <c r="O48" s="363"/>
      <c r="V48" s="120"/>
      <c r="W48" s="94"/>
      <c r="X48" s="94"/>
      <c r="Y48" s="117"/>
      <c r="Z48" s="93" t="s">
        <v>333</v>
      </c>
      <c r="AA48" s="121"/>
      <c r="AB48" s="120"/>
      <c r="AC48" s="121"/>
      <c r="AD48" s="120"/>
      <c r="AE48" s="121"/>
    </row>
    <row r="49" spans="1:31" x14ac:dyDescent="0.3">
      <c r="A49" s="271" t="s">
        <v>342</v>
      </c>
      <c r="B49" s="361" t="s">
        <v>343</v>
      </c>
      <c r="C49" s="361"/>
      <c r="M49" s="108"/>
      <c r="N49" s="92"/>
      <c r="O49" s="92"/>
      <c r="S49" s="125" t="s">
        <v>473</v>
      </c>
      <c r="T49" s="124" t="s">
        <v>473</v>
      </c>
      <c r="U49" s="124" t="s">
        <v>476</v>
      </c>
      <c r="V49" s="120"/>
      <c r="W49" s="94" t="s">
        <v>329</v>
      </c>
      <c r="X49" s="94"/>
      <c r="Y49" s="117"/>
      <c r="Z49" s="94"/>
      <c r="AA49" s="121"/>
      <c r="AB49" s="120"/>
      <c r="AC49" s="121"/>
      <c r="AD49" s="120"/>
      <c r="AE49" s="121"/>
    </row>
    <row r="50" spans="1:31" x14ac:dyDescent="0.3">
      <c r="A50" s="271" t="s">
        <v>294</v>
      </c>
      <c r="B50" s="361" t="s">
        <v>296</v>
      </c>
      <c r="C50" s="361"/>
      <c r="J50" s="110" t="s">
        <v>327</v>
      </c>
      <c r="K50" s="24" t="s">
        <v>328</v>
      </c>
      <c r="L50" s="24" t="s">
        <v>327</v>
      </c>
      <c r="S50" s="107"/>
      <c r="T50" s="45"/>
      <c r="U50" s="45"/>
      <c r="V50" s="120"/>
      <c r="W50" s="94" t="s">
        <v>327</v>
      </c>
      <c r="X50" s="94"/>
      <c r="Y50" s="117"/>
      <c r="Z50" s="94"/>
      <c r="AA50" s="121"/>
      <c r="AB50" s="109" t="s">
        <v>191</v>
      </c>
      <c r="AC50" s="98" t="s">
        <v>191</v>
      </c>
      <c r="AD50" s="120"/>
      <c r="AE50" s="121"/>
    </row>
    <row r="51" spans="1:31" x14ac:dyDescent="0.3">
      <c r="A51" s="271" t="s">
        <v>295</v>
      </c>
      <c r="B51" s="359" t="s">
        <v>347</v>
      </c>
      <c r="C51" s="359"/>
      <c r="J51" s="110" t="s">
        <v>327</v>
      </c>
      <c r="K51" s="24" t="s">
        <v>328</v>
      </c>
      <c r="L51" s="24" t="s">
        <v>327</v>
      </c>
      <c r="S51" s="108" t="s">
        <v>473</v>
      </c>
      <c r="T51" s="36" t="s">
        <v>473</v>
      </c>
      <c r="U51" s="36" t="s">
        <v>476</v>
      </c>
      <c r="W51" s="91" t="s">
        <v>329</v>
      </c>
      <c r="X51" s="91"/>
      <c r="Y51" s="107"/>
      <c r="Z51" s="91"/>
      <c r="AB51" s="107" t="s">
        <v>252</v>
      </c>
      <c r="AC51" s="45" t="s">
        <v>252</v>
      </c>
    </row>
    <row r="52" spans="1:31" x14ac:dyDescent="0.3">
      <c r="C52" s="45"/>
      <c r="W52" s="91"/>
      <c r="X52" s="91"/>
      <c r="Y52" s="107"/>
      <c r="Z52" s="91"/>
    </row>
    <row r="53" spans="1:31" x14ac:dyDescent="0.3">
      <c r="A53" s="271" t="s">
        <v>299</v>
      </c>
      <c r="B53" s="358" t="s">
        <v>301</v>
      </c>
      <c r="C53" s="358"/>
      <c r="S53" s="107" t="s">
        <v>473</v>
      </c>
      <c r="T53" s="45" t="s">
        <v>473</v>
      </c>
      <c r="U53" s="45" t="s">
        <v>476</v>
      </c>
      <c r="W53" s="91" t="s">
        <v>329</v>
      </c>
    </row>
    <row r="54" spans="1:31" x14ac:dyDescent="0.3">
      <c r="A54" s="271" t="s">
        <v>300</v>
      </c>
      <c r="B54" s="359" t="s">
        <v>302</v>
      </c>
      <c r="C54" s="359"/>
      <c r="S54" s="122" t="s">
        <v>715</v>
      </c>
      <c r="T54" s="36"/>
      <c r="U54" s="36"/>
      <c r="W54" s="122" t="s">
        <v>344</v>
      </c>
      <c r="AB54" s="107" t="s">
        <v>252</v>
      </c>
      <c r="AC54" s="45" t="s">
        <v>252</v>
      </c>
    </row>
    <row r="55" spans="1:31" x14ac:dyDescent="0.3">
      <c r="S55" s="361"/>
      <c r="T55" s="361"/>
      <c r="U55" s="361"/>
      <c r="AB55" s="363" t="s">
        <v>309</v>
      </c>
      <c r="AC55" s="363"/>
      <c r="AD55" s="363"/>
    </row>
    <row r="56" spans="1:31" x14ac:dyDescent="0.3">
      <c r="A56" s="271" t="s">
        <v>297</v>
      </c>
      <c r="B56" s="358" t="s">
        <v>298</v>
      </c>
      <c r="C56" s="358"/>
      <c r="J56" s="110" t="s">
        <v>329</v>
      </c>
      <c r="K56" s="24" t="s">
        <v>329</v>
      </c>
      <c r="L56" s="24" t="s">
        <v>329</v>
      </c>
    </row>
    <row r="57" spans="1:31" x14ac:dyDescent="0.3">
      <c r="A57" s="271" t="s">
        <v>338</v>
      </c>
      <c r="B57" s="358" t="s">
        <v>340</v>
      </c>
      <c r="C57" s="358"/>
      <c r="J57" s="123" t="s">
        <v>337</v>
      </c>
    </row>
    <row r="58" spans="1:31" x14ac:dyDescent="0.3">
      <c r="A58" s="271" t="s">
        <v>339</v>
      </c>
      <c r="B58" s="358" t="s">
        <v>341</v>
      </c>
      <c r="C58" s="358"/>
    </row>
  </sheetData>
  <mergeCells count="47">
    <mergeCell ref="B35:C35"/>
    <mergeCell ref="B57:C57"/>
    <mergeCell ref="B58:C58"/>
    <mergeCell ref="B49:C49"/>
    <mergeCell ref="S55:U55"/>
    <mergeCell ref="B42:C42"/>
    <mergeCell ref="B43:C43"/>
    <mergeCell ref="B44:C44"/>
    <mergeCell ref="S45:U45"/>
    <mergeCell ref="B46:C46"/>
    <mergeCell ref="B47:C47"/>
    <mergeCell ref="D40:F40"/>
    <mergeCell ref="J39:L39"/>
    <mergeCell ref="B36:C36"/>
    <mergeCell ref="AB55:AD55"/>
    <mergeCell ref="M48:O48"/>
    <mergeCell ref="B50:C50"/>
    <mergeCell ref="B51:C51"/>
    <mergeCell ref="B56:C56"/>
    <mergeCell ref="B53:C53"/>
    <mergeCell ref="B54:C54"/>
    <mergeCell ref="V39:X39"/>
    <mergeCell ref="Y39:AA39"/>
    <mergeCell ref="AD39:AE39"/>
    <mergeCell ref="B41:C41"/>
    <mergeCell ref="B37:C37"/>
    <mergeCell ref="M38:O38"/>
    <mergeCell ref="S38:U38"/>
    <mergeCell ref="AB38:AC38"/>
    <mergeCell ref="B38:C38"/>
    <mergeCell ref="B39:C39"/>
    <mergeCell ref="AF30:AG30"/>
    <mergeCell ref="B31:C31"/>
    <mergeCell ref="B32:C32"/>
    <mergeCell ref="D34:F34"/>
    <mergeCell ref="M34:O34"/>
    <mergeCell ref="V34:X34"/>
    <mergeCell ref="Y34:AA34"/>
    <mergeCell ref="P28:R28"/>
    <mergeCell ref="B28:C28"/>
    <mergeCell ref="B33:C33"/>
    <mergeCell ref="B24:C24"/>
    <mergeCell ref="B25:C25"/>
    <mergeCell ref="B26:C26"/>
    <mergeCell ref="B27:C27"/>
    <mergeCell ref="B29:C29"/>
    <mergeCell ref="G30:I30"/>
  </mergeCells>
  <phoneticPr fontId="1" type="noConversion"/>
  <pageMargins left="0.7" right="0.7" top="0.75" bottom="0.75" header="0.3" footer="0.3"/>
  <pageSetup paperSize="9" orientation="portrait" horizontalDpi="4294967295" verticalDpi="4294967295" r:id="rId1"/>
  <ignoredErrors>
    <ignoredError sqref="Y1 AF1 A50:A56 AB1 A31:A34 A36:A48" numberStoredAsText="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66"/>
  <sheetViews>
    <sheetView workbookViewId="0">
      <pane ySplit="2" topLeftCell="A3" activePane="bottomLeft" state="frozen"/>
      <selection pane="bottomLeft" activeCell="E47" sqref="E47"/>
    </sheetView>
  </sheetViews>
  <sheetFormatPr defaultRowHeight="12.75" x14ac:dyDescent="0.3"/>
  <cols>
    <col min="1" max="1" width="6" style="80" customWidth="1"/>
    <col min="2" max="2" width="12" style="82" customWidth="1"/>
    <col min="3" max="3" width="24.875" style="24" customWidth="1"/>
    <col min="4" max="4" width="8.25" style="105" customWidth="1"/>
    <col min="5" max="6" width="8.25" style="35" customWidth="1"/>
    <col min="7" max="7" width="7.75" style="57" customWidth="1"/>
    <col min="8" max="9" width="7.75" style="24" customWidth="1"/>
    <col min="10" max="10" width="6.875" style="110" customWidth="1"/>
    <col min="11" max="12" width="6.875" style="24" customWidth="1"/>
    <col min="13" max="13" width="7.375" style="110" customWidth="1"/>
    <col min="14" max="15" width="7.375" style="24" customWidth="1"/>
    <col min="16" max="16" width="9" style="57" customWidth="1"/>
    <col min="17" max="18" width="9" style="24" customWidth="1"/>
    <col min="19" max="19" width="7.875" style="110" customWidth="1"/>
    <col min="20" max="21" width="7.375" style="24" customWidth="1"/>
    <col min="22" max="22" width="8" style="110" customWidth="1"/>
    <col min="23" max="23" width="9" style="24" customWidth="1"/>
    <col min="24" max="24" width="8.75" style="24" customWidth="1"/>
    <col min="25" max="25" width="8.25" style="110" customWidth="1"/>
    <col min="26" max="27" width="8.25" style="24" customWidth="1"/>
    <col min="28" max="28" width="8.25" style="110" customWidth="1"/>
    <col min="29" max="29" width="7.75" style="24" customWidth="1"/>
    <col min="30" max="30" width="8.25" style="110" customWidth="1"/>
    <col min="31" max="31" width="8.25" style="24" customWidth="1"/>
    <col min="32" max="32" width="9" style="110"/>
    <col min="33" max="16384" width="9" style="24"/>
  </cols>
  <sheetData>
    <row r="1" spans="1:33" s="89" customFormat="1" x14ac:dyDescent="0.3">
      <c r="A1" s="80"/>
      <c r="B1" s="88"/>
      <c r="D1" s="103" t="s">
        <v>322</v>
      </c>
      <c r="G1" s="90" t="s">
        <v>305</v>
      </c>
      <c r="J1" s="103">
        <v>6</v>
      </c>
      <c r="M1" s="103" t="s">
        <v>323</v>
      </c>
      <c r="P1" s="90" t="s">
        <v>306</v>
      </c>
      <c r="S1" s="103" t="s">
        <v>324</v>
      </c>
      <c r="V1" s="103" t="s">
        <v>325</v>
      </c>
      <c r="Y1" s="103" t="s">
        <v>358</v>
      </c>
      <c r="AB1" s="103" t="s">
        <v>326</v>
      </c>
      <c r="AD1" s="103" t="s">
        <v>325</v>
      </c>
      <c r="AF1" s="103" t="s">
        <v>267</v>
      </c>
    </row>
    <row r="2" spans="1:33" s="42" customFormat="1" ht="28.5" customHeight="1" x14ac:dyDescent="0.3">
      <c r="A2" s="80"/>
      <c r="D2" s="104" t="s">
        <v>186</v>
      </c>
      <c r="E2" s="44" t="s">
        <v>187</v>
      </c>
      <c r="F2" s="44" t="s">
        <v>188</v>
      </c>
      <c r="G2" s="55" t="s">
        <v>193</v>
      </c>
      <c r="H2" s="44" t="s">
        <v>194</v>
      </c>
      <c r="I2" s="44" t="s">
        <v>195</v>
      </c>
      <c r="J2" s="39" t="s">
        <v>202</v>
      </c>
      <c r="K2" s="40" t="s">
        <v>200</v>
      </c>
      <c r="L2" s="41" t="s">
        <v>201</v>
      </c>
      <c r="M2" s="39" t="s">
        <v>203</v>
      </c>
      <c r="N2" s="40" t="s">
        <v>204</v>
      </c>
      <c r="O2" s="41" t="s">
        <v>205</v>
      </c>
      <c r="P2" s="46" t="s">
        <v>217</v>
      </c>
      <c r="Q2" s="41" t="s">
        <v>218</v>
      </c>
      <c r="R2" s="41" t="s">
        <v>219</v>
      </c>
      <c r="S2" s="113" t="s">
        <v>220</v>
      </c>
      <c r="T2" s="41" t="s">
        <v>221</v>
      </c>
      <c r="U2" s="41" t="s">
        <v>222</v>
      </c>
      <c r="V2" s="113" t="s">
        <v>223</v>
      </c>
      <c r="W2" s="41" t="s">
        <v>224</v>
      </c>
      <c r="X2" s="41" t="s">
        <v>232</v>
      </c>
      <c r="Y2" s="115" t="s">
        <v>231</v>
      </c>
      <c r="Z2" s="47" t="s">
        <v>230</v>
      </c>
      <c r="AA2" s="47" t="s">
        <v>229</v>
      </c>
      <c r="AB2" s="115" t="s">
        <v>228</v>
      </c>
      <c r="AC2" s="47" t="s">
        <v>227</v>
      </c>
      <c r="AD2" s="113" t="s">
        <v>225</v>
      </c>
      <c r="AE2" s="47" t="s">
        <v>226</v>
      </c>
      <c r="AF2" s="116" t="s">
        <v>247</v>
      </c>
      <c r="AG2" s="38" t="s">
        <v>248</v>
      </c>
    </row>
    <row r="3" spans="1:33" s="28" customFormat="1" x14ac:dyDescent="0.3">
      <c r="A3" s="99"/>
      <c r="B3" s="97" t="s">
        <v>88</v>
      </c>
      <c r="D3" s="105"/>
      <c r="E3" s="53"/>
      <c r="F3" s="53"/>
      <c r="J3" s="110"/>
      <c r="M3" s="110"/>
      <c r="S3" s="110"/>
      <c r="V3" s="110"/>
      <c r="Y3" s="110"/>
      <c r="AB3" s="110"/>
      <c r="AD3" s="110"/>
      <c r="AF3" s="110"/>
    </row>
    <row r="4" spans="1:33" s="28" customFormat="1" x14ac:dyDescent="0.3">
      <c r="A4" s="99"/>
      <c r="B4" s="97" t="s">
        <v>0</v>
      </c>
      <c r="C4" s="100" t="s">
        <v>1</v>
      </c>
      <c r="D4" s="106">
        <v>2.5249999999999999</v>
      </c>
      <c r="E4" s="52">
        <v>1.9821428571428572</v>
      </c>
      <c r="F4" s="52">
        <v>2.9333333333333331</v>
      </c>
      <c r="G4" s="52">
        <v>1</v>
      </c>
      <c r="H4" s="52">
        <v>1</v>
      </c>
      <c r="I4" s="52">
        <v>1</v>
      </c>
      <c r="J4" s="106">
        <v>2.0512820512820511</v>
      </c>
      <c r="K4" s="52">
        <v>1.7837837837837838</v>
      </c>
      <c r="L4" s="52">
        <v>2.6666666666666665</v>
      </c>
      <c r="M4" s="106">
        <v>2.3372093023255816</v>
      </c>
      <c r="N4" s="52">
        <v>2.0721649484536084</v>
      </c>
      <c r="O4" s="52">
        <v>2.5443037974683542</v>
      </c>
      <c r="P4" s="52">
        <v>1.0483870967741935</v>
      </c>
      <c r="Q4" s="52">
        <v>1.0769230769230769</v>
      </c>
      <c r="R4" s="52">
        <v>1.1506849315068493</v>
      </c>
      <c r="S4" s="106">
        <v>2</v>
      </c>
      <c r="T4" s="52">
        <v>1.8888888888888888</v>
      </c>
      <c r="U4" s="52">
        <v>2.1428571428571428</v>
      </c>
      <c r="V4" s="106">
        <v>1.8271604938271604</v>
      </c>
      <c r="W4" s="52">
        <v>1.7441860465116279</v>
      </c>
      <c r="X4" s="52">
        <v>2.08955223880597</v>
      </c>
      <c r="Y4" s="106">
        <v>2.116883116883117</v>
      </c>
      <c r="Z4" s="52">
        <v>1.963855421686747</v>
      </c>
      <c r="AA4" s="52">
        <v>2.2816901408450705</v>
      </c>
      <c r="AB4" s="106">
        <v>1.972972972972973</v>
      </c>
      <c r="AC4" s="52">
        <v>2.6041666666666665</v>
      </c>
      <c r="AD4" s="106">
        <v>3.06</v>
      </c>
      <c r="AE4" s="52">
        <v>2.1363636363636362</v>
      </c>
      <c r="AF4" s="106">
        <v>1.1587301587301588</v>
      </c>
      <c r="AG4" s="52">
        <v>1.1162790697674418</v>
      </c>
    </row>
    <row r="5" spans="1:33" s="28" customFormat="1" x14ac:dyDescent="0.3">
      <c r="A5" s="99"/>
      <c r="B5" s="97" t="s">
        <v>2</v>
      </c>
      <c r="C5" s="28" t="s">
        <v>3</v>
      </c>
      <c r="D5" s="105">
        <v>0.7</v>
      </c>
      <c r="E5" s="53">
        <v>0.6116071428571429</v>
      </c>
      <c r="F5" s="53">
        <v>0.58333333333333337</v>
      </c>
      <c r="G5" s="53">
        <v>0</v>
      </c>
      <c r="H5" s="53">
        <v>0</v>
      </c>
      <c r="I5" s="53">
        <v>0</v>
      </c>
      <c r="J5" s="105">
        <v>0.55128205128205132</v>
      </c>
      <c r="K5" s="53">
        <v>0.6216216216216216</v>
      </c>
      <c r="L5" s="53">
        <v>0.52941176470588236</v>
      </c>
      <c r="M5" s="105">
        <v>0.62790697674418605</v>
      </c>
      <c r="N5" s="53">
        <v>0.71134020618556704</v>
      </c>
      <c r="O5" s="53">
        <v>0.620253164556962</v>
      </c>
      <c r="P5" s="53">
        <v>0.29838709677419356</v>
      </c>
      <c r="Q5" s="53">
        <v>0.32307692307692309</v>
      </c>
      <c r="R5" s="53">
        <v>1.0136986301369864</v>
      </c>
      <c r="S5" s="105">
        <v>0.72499999999999998</v>
      </c>
      <c r="T5" s="53">
        <v>0.75555555555555554</v>
      </c>
      <c r="U5" s="53">
        <v>0.68571428571428572</v>
      </c>
      <c r="V5" s="105">
        <v>0.50617283950617287</v>
      </c>
      <c r="W5" s="53">
        <v>0.69767441860465118</v>
      </c>
      <c r="X5" s="53">
        <v>0.59701492537313428</v>
      </c>
      <c r="Y5" s="105">
        <v>0.66233766233766234</v>
      </c>
      <c r="Z5" s="53">
        <v>0.72289156626506024</v>
      </c>
      <c r="AA5" s="53">
        <v>0.61971830985915488</v>
      </c>
      <c r="AB5" s="105">
        <v>1.027027027027027</v>
      </c>
      <c r="AC5" s="53">
        <v>1.2083333333333333</v>
      </c>
      <c r="AD5" s="105">
        <v>0.72</v>
      </c>
      <c r="AE5" s="53">
        <v>0.70454545454545459</v>
      </c>
      <c r="AF5" s="105">
        <v>0</v>
      </c>
      <c r="AG5" s="53">
        <v>0</v>
      </c>
    </row>
    <row r="6" spans="1:33" s="28" customFormat="1" x14ac:dyDescent="0.3">
      <c r="A6" s="99"/>
      <c r="B6" s="97" t="s">
        <v>4</v>
      </c>
      <c r="C6" s="28" t="s">
        <v>5</v>
      </c>
      <c r="D6" s="105">
        <v>0.12191011235955056</v>
      </c>
      <c r="E6" s="53">
        <v>0.10263600673022995</v>
      </c>
      <c r="F6" s="53">
        <v>0.11348314606741573</v>
      </c>
      <c r="G6" s="53">
        <v>0</v>
      </c>
      <c r="H6" s="53">
        <v>0</v>
      </c>
      <c r="I6" s="53">
        <v>0</v>
      </c>
      <c r="J6" s="105">
        <v>9.7872340425531917E-2</v>
      </c>
      <c r="K6" s="53">
        <v>0.13191489361702127</v>
      </c>
      <c r="L6" s="53">
        <v>7.7659574468085107E-2</v>
      </c>
      <c r="M6" s="105">
        <v>0.13014460511679643</v>
      </c>
      <c r="N6" s="53">
        <v>0.13858093126385809</v>
      </c>
      <c r="O6" s="53">
        <v>0.12680756395995552</v>
      </c>
      <c r="P6" s="53">
        <v>0.10658307210031348</v>
      </c>
      <c r="Q6" s="53">
        <v>0.11882716049382716</v>
      </c>
      <c r="R6" s="53">
        <v>0.12795549374130738</v>
      </c>
      <c r="S6" s="105">
        <v>6.5909090909090903E-2</v>
      </c>
      <c r="T6" s="53">
        <v>7.6318742985409652E-2</v>
      </c>
      <c r="U6" s="53">
        <v>5.5172413793103448E-2</v>
      </c>
      <c r="V6" s="105">
        <v>0.20243902439024392</v>
      </c>
      <c r="W6" s="53">
        <v>0.21897810218978103</v>
      </c>
      <c r="X6" s="53">
        <v>0.47073170731707314</v>
      </c>
      <c r="Y6" s="105">
        <v>0.12345679012345678</v>
      </c>
      <c r="Z6" s="53">
        <v>0.13131313131313133</v>
      </c>
      <c r="AA6" s="53">
        <v>0.11672278338945005</v>
      </c>
      <c r="AB6" s="105">
        <v>0.13043478260869565</v>
      </c>
      <c r="AC6" s="53">
        <v>0.11606217616580311</v>
      </c>
      <c r="AD6" s="105">
        <v>8.1609195402298856E-2</v>
      </c>
      <c r="AE6" s="53">
        <v>0.15833333333333333</v>
      </c>
      <c r="AF6" s="105">
        <v>0</v>
      </c>
      <c r="AG6" s="53">
        <v>0</v>
      </c>
    </row>
    <row r="7" spans="1:33" s="28" customFormat="1" x14ac:dyDescent="0.3">
      <c r="A7" s="99"/>
      <c r="B7" s="97" t="s">
        <v>6</v>
      </c>
      <c r="C7" s="28" t="s">
        <v>7</v>
      </c>
      <c r="D7" s="105">
        <v>0.33750000000000002</v>
      </c>
      <c r="E7" s="53">
        <v>0.3392857142857143</v>
      </c>
      <c r="F7" s="53">
        <v>0.31666666666666665</v>
      </c>
      <c r="G7" s="53">
        <v>0.5</v>
      </c>
      <c r="H7" s="53">
        <v>0.5</v>
      </c>
      <c r="I7" s="53">
        <v>0.5</v>
      </c>
      <c r="J7" s="105">
        <v>0.5</v>
      </c>
      <c r="K7" s="53">
        <v>0.5</v>
      </c>
      <c r="L7" s="53">
        <v>0.5</v>
      </c>
      <c r="M7" s="105">
        <v>1</v>
      </c>
      <c r="N7" s="53">
        <v>1</v>
      </c>
      <c r="O7" s="53">
        <v>1</v>
      </c>
      <c r="P7" s="53">
        <v>0.29838709677419356</v>
      </c>
      <c r="Q7" s="53">
        <v>0.22307692307692309</v>
      </c>
      <c r="R7" s="53">
        <v>0.54794520547945202</v>
      </c>
      <c r="S7" s="105">
        <v>0.5</v>
      </c>
      <c r="T7" s="53">
        <v>0.5</v>
      </c>
      <c r="U7" s="53">
        <v>0.5</v>
      </c>
      <c r="V7" s="105">
        <v>0.34567901234567899</v>
      </c>
      <c r="W7" s="53">
        <v>0.36046511627906974</v>
      </c>
      <c r="X7" s="53">
        <v>0.32835820895522388</v>
      </c>
      <c r="Y7" s="105">
        <v>0.25974025974025972</v>
      </c>
      <c r="Z7" s="53">
        <v>0.31325301204819278</v>
      </c>
      <c r="AA7" s="53">
        <v>0.21126760563380281</v>
      </c>
      <c r="AB7" s="105">
        <v>0.44594594594594594</v>
      </c>
      <c r="AC7" s="53">
        <v>0.45833333333333331</v>
      </c>
      <c r="AD7" s="105">
        <v>0.3</v>
      </c>
      <c r="AE7" s="53">
        <v>0.27272727272727271</v>
      </c>
      <c r="AF7" s="105">
        <v>0.5</v>
      </c>
      <c r="AG7" s="53">
        <v>0.5</v>
      </c>
    </row>
    <row r="8" spans="1:33" s="28" customFormat="1" x14ac:dyDescent="0.3">
      <c r="A8" s="99"/>
      <c r="B8" s="97" t="s">
        <v>8</v>
      </c>
      <c r="D8" s="105">
        <v>17</v>
      </c>
      <c r="E8" s="53">
        <v>28</v>
      </c>
      <c r="F8" s="53">
        <v>12</v>
      </c>
      <c r="G8" s="53">
        <v>0</v>
      </c>
      <c r="H8" s="53">
        <v>0</v>
      </c>
      <c r="I8" s="53">
        <v>0</v>
      </c>
      <c r="J8" s="105">
        <v>0</v>
      </c>
      <c r="K8" s="53">
        <v>0</v>
      </c>
      <c r="L8" s="53">
        <v>0</v>
      </c>
      <c r="M8" s="105">
        <v>21</v>
      </c>
      <c r="N8" s="53">
        <v>23</v>
      </c>
      <c r="O8" s="53">
        <v>21</v>
      </c>
      <c r="P8" s="53">
        <v>10</v>
      </c>
      <c r="Q8" s="53">
        <v>9</v>
      </c>
      <c r="R8" s="53">
        <v>7</v>
      </c>
      <c r="S8" s="105">
        <v>33</v>
      </c>
      <c r="T8" s="53">
        <v>38</v>
      </c>
      <c r="U8" s="53">
        <v>28</v>
      </c>
      <c r="V8" s="105">
        <v>17</v>
      </c>
      <c r="W8" s="53">
        <v>20</v>
      </c>
      <c r="X8" s="53">
        <v>22</v>
      </c>
      <c r="Y8" s="105">
        <v>16</v>
      </c>
      <c r="Z8" s="53">
        <v>25</v>
      </c>
      <c r="AA8" s="53">
        <v>10</v>
      </c>
      <c r="AB8" s="105">
        <v>25</v>
      </c>
      <c r="AC8" s="53">
        <v>20</v>
      </c>
      <c r="AD8" s="105">
        <v>11</v>
      </c>
      <c r="AE8" s="53">
        <v>21</v>
      </c>
      <c r="AF8" s="105">
        <v>0</v>
      </c>
      <c r="AG8" s="53">
        <v>0</v>
      </c>
    </row>
    <row r="9" spans="1:33" s="28" customFormat="1" x14ac:dyDescent="0.3">
      <c r="A9" s="99"/>
      <c r="B9" s="97" t="s">
        <v>9</v>
      </c>
      <c r="C9" s="28" t="s">
        <v>10</v>
      </c>
      <c r="D9" s="105">
        <v>0.56662804171494785</v>
      </c>
      <c r="E9" s="53">
        <v>0.52309468822170901</v>
      </c>
      <c r="F9" s="53">
        <v>0.60602549246813442</v>
      </c>
      <c r="G9" s="53">
        <v>1</v>
      </c>
      <c r="H9" s="53">
        <v>1</v>
      </c>
      <c r="I9" s="53">
        <v>1</v>
      </c>
      <c r="J9" s="105">
        <v>1</v>
      </c>
      <c r="K9" s="53">
        <v>1</v>
      </c>
      <c r="L9" s="53">
        <v>1</v>
      </c>
      <c r="M9" s="105">
        <v>0.76525821596244137</v>
      </c>
      <c r="N9" s="53">
        <v>0.75176470588235289</v>
      </c>
      <c r="O9" s="53">
        <v>0.75205640423031728</v>
      </c>
      <c r="P9" s="53">
        <v>0.84265279583875163</v>
      </c>
      <c r="Q9" s="53">
        <v>0.83076923076923082</v>
      </c>
      <c r="R9" s="53">
        <v>0.74137931034482762</v>
      </c>
      <c r="S9" s="105">
        <v>0.90944881889763785</v>
      </c>
      <c r="T9" s="53">
        <v>0.89766839378238339</v>
      </c>
      <c r="U9" s="53">
        <v>0.92154255319148937</v>
      </c>
      <c r="V9" s="105">
        <v>0.32038834951456313</v>
      </c>
      <c r="W9" s="53">
        <v>0.65952380952380951</v>
      </c>
      <c r="X9" s="53">
        <v>0.27073170731707319</v>
      </c>
      <c r="Y9" s="105">
        <v>0.73063583815028899</v>
      </c>
      <c r="Z9" s="53">
        <v>0.71180555555555558</v>
      </c>
      <c r="AA9" s="53">
        <v>0.74709976798143851</v>
      </c>
      <c r="AB9" s="105">
        <v>0.61166666666666669</v>
      </c>
      <c r="AC9" s="53">
        <v>0.64912280701754388</v>
      </c>
      <c r="AD9" s="105">
        <v>0.55936073059360736</v>
      </c>
      <c r="AE9" s="53">
        <v>0.48636363636363639</v>
      </c>
      <c r="AF9" s="105">
        <v>1</v>
      </c>
      <c r="AG9" s="53">
        <v>1</v>
      </c>
    </row>
    <row r="10" spans="1:33" s="28" customFormat="1" x14ac:dyDescent="0.3">
      <c r="A10" s="99"/>
      <c r="B10" s="97" t="s">
        <v>11</v>
      </c>
      <c r="C10" s="28" t="s">
        <v>132</v>
      </c>
      <c r="D10" s="105">
        <v>1.5892857142857142</v>
      </c>
      <c r="E10" s="53">
        <v>1.6321167883211678</v>
      </c>
      <c r="F10" s="53">
        <v>2.6639999999999997</v>
      </c>
      <c r="G10" s="101" t="s">
        <v>253</v>
      </c>
      <c r="H10" s="101" t="s">
        <v>253</v>
      </c>
      <c r="I10" s="101" t="s">
        <v>253</v>
      </c>
      <c r="J10" s="111" t="s">
        <v>253</v>
      </c>
      <c r="K10" s="101" t="s">
        <v>253</v>
      </c>
      <c r="L10" s="101" t="s">
        <v>253</v>
      </c>
      <c r="M10" s="105">
        <v>0.34074074074074073</v>
      </c>
      <c r="N10" s="53">
        <v>6.6666666666666638E-2</v>
      </c>
      <c r="O10" s="53">
        <v>-1.8367346938775481E-2</v>
      </c>
      <c r="P10" s="53">
        <v>1.0364864864864864</v>
      </c>
      <c r="Q10" s="53">
        <v>0.59523809523809523</v>
      </c>
      <c r="R10" s="53">
        <v>1.5135135135135136</v>
      </c>
      <c r="S10" s="105">
        <v>-0.75862068965517238</v>
      </c>
      <c r="T10" s="53">
        <v>-0.72058823529411764</v>
      </c>
      <c r="U10" s="53">
        <v>-0.8208333333333333</v>
      </c>
      <c r="V10" s="105">
        <v>0.81707317073170727</v>
      </c>
      <c r="W10" s="53">
        <v>0.3716666666666667</v>
      </c>
      <c r="X10" s="53">
        <v>1.1525000000000001</v>
      </c>
      <c r="Y10" s="105">
        <v>1.1529411764705881</v>
      </c>
      <c r="Z10" s="53">
        <v>0.76666666666666672</v>
      </c>
      <c r="AA10" s="53">
        <v>1.3068181818181819</v>
      </c>
      <c r="AB10" s="105">
        <v>0.19736842105263158</v>
      </c>
      <c r="AC10" s="53">
        <v>0.74137931034482762</v>
      </c>
      <c r="AD10" s="105">
        <v>1.233888888888889</v>
      </c>
      <c r="AE10" s="53">
        <v>0.98064516129032253</v>
      </c>
      <c r="AF10" s="111" t="s">
        <v>249</v>
      </c>
      <c r="AG10" s="101" t="s">
        <v>249</v>
      </c>
    </row>
    <row r="11" spans="1:33" s="28" customFormat="1" ht="13.5" customHeight="1" x14ac:dyDescent="0.3">
      <c r="A11" s="99"/>
      <c r="B11" s="97" t="s">
        <v>2</v>
      </c>
      <c r="C11" s="100" t="s">
        <v>3</v>
      </c>
      <c r="D11" s="105">
        <v>0.7</v>
      </c>
      <c r="E11" s="53">
        <v>0.6116071428571429</v>
      </c>
      <c r="F11" s="53">
        <v>0.58333333333333337</v>
      </c>
      <c r="G11" s="53">
        <v>0</v>
      </c>
      <c r="H11" s="53">
        <v>0</v>
      </c>
      <c r="I11" s="53">
        <v>0</v>
      </c>
      <c r="J11" s="105">
        <v>0.55128205128205132</v>
      </c>
      <c r="K11" s="53">
        <v>0.6216216216216216</v>
      </c>
      <c r="L11" s="53">
        <v>0.52941176470588236</v>
      </c>
      <c r="M11" s="105">
        <v>0.62790697674418605</v>
      </c>
      <c r="N11" s="53">
        <v>0.71134020618556704</v>
      </c>
      <c r="O11" s="53">
        <v>0.620253164556962</v>
      </c>
      <c r="P11" s="53">
        <v>0.29838709677419356</v>
      </c>
      <c r="Q11" s="53">
        <v>0.32307692307692309</v>
      </c>
      <c r="R11" s="53">
        <v>1.0136986301369864</v>
      </c>
      <c r="S11" s="105">
        <v>0.72499999999999998</v>
      </c>
      <c r="T11" s="53">
        <v>0.75555555555555554</v>
      </c>
      <c r="U11" s="53">
        <v>0.68571428571428572</v>
      </c>
      <c r="V11" s="105">
        <v>0.50617283950617287</v>
      </c>
      <c r="W11" s="53">
        <v>0.69767441860465118</v>
      </c>
      <c r="X11" s="53">
        <v>0.59701492537313428</v>
      </c>
      <c r="Y11" s="105">
        <v>0.66233766233766234</v>
      </c>
      <c r="Z11" s="53">
        <v>0.72289156626506024</v>
      </c>
      <c r="AA11" s="53">
        <v>0.61971830985915488</v>
      </c>
      <c r="AB11" s="105">
        <v>1.027027027027027</v>
      </c>
      <c r="AC11" s="53">
        <v>1.2083333333333333</v>
      </c>
      <c r="AD11" s="105">
        <v>0.72</v>
      </c>
      <c r="AE11" s="53">
        <v>0.70454545454545459</v>
      </c>
      <c r="AF11" s="105">
        <v>0</v>
      </c>
      <c r="AG11" s="53">
        <v>0</v>
      </c>
    </row>
    <row r="12" spans="1:33" s="28" customFormat="1" x14ac:dyDescent="0.3">
      <c r="A12" s="99"/>
      <c r="B12" s="97" t="s">
        <v>15</v>
      </c>
      <c r="C12" s="100" t="s">
        <v>16</v>
      </c>
      <c r="D12" s="105">
        <v>0.33750000000000002</v>
      </c>
      <c r="E12" s="53">
        <v>0.18303571428571427</v>
      </c>
      <c r="F12" s="53">
        <v>0.35</v>
      </c>
      <c r="G12" s="53">
        <v>0</v>
      </c>
      <c r="H12" s="53">
        <v>0</v>
      </c>
      <c r="I12" s="53">
        <v>0</v>
      </c>
      <c r="J12" s="105">
        <v>0.66666666666666663</v>
      </c>
      <c r="K12" s="53">
        <v>0.5495495495495496</v>
      </c>
      <c r="L12" s="53">
        <v>0.88235294117647056</v>
      </c>
      <c r="M12" s="105">
        <v>0.18604651162790697</v>
      </c>
      <c r="N12" s="53">
        <v>0.22680412371134021</v>
      </c>
      <c r="O12" s="53">
        <v>0.24050632911392406</v>
      </c>
      <c r="P12" s="53">
        <v>0</v>
      </c>
      <c r="Q12" s="53">
        <v>0</v>
      </c>
      <c r="R12" s="53">
        <v>0</v>
      </c>
      <c r="S12" s="105">
        <v>0.05</v>
      </c>
      <c r="T12" s="53">
        <v>4.4444444444444446E-2</v>
      </c>
      <c r="U12" s="53">
        <v>5.7142857142857141E-2</v>
      </c>
      <c r="V12" s="105">
        <v>0.18518518518518517</v>
      </c>
      <c r="W12" s="53">
        <v>0.18604651162790697</v>
      </c>
      <c r="X12" s="53">
        <v>0.22388059701492538</v>
      </c>
      <c r="Y12" s="105">
        <v>0.29870129870129869</v>
      </c>
      <c r="Z12" s="53">
        <v>0.27710843373493976</v>
      </c>
      <c r="AA12" s="53">
        <v>0.29577464788732394</v>
      </c>
      <c r="AB12" s="105">
        <v>0.86486486486486491</v>
      </c>
      <c r="AC12" s="53">
        <v>1.0625</v>
      </c>
      <c r="AD12" s="105">
        <v>0.38</v>
      </c>
      <c r="AE12" s="53">
        <v>0.375</v>
      </c>
      <c r="AF12" s="105">
        <v>4.7619047619047616E-2</v>
      </c>
      <c r="AG12" s="53">
        <v>2.3255813953488372E-2</v>
      </c>
    </row>
    <row r="13" spans="1:33" s="28" customFormat="1" x14ac:dyDescent="0.3">
      <c r="A13" s="99"/>
      <c r="B13" s="97" t="s">
        <v>17</v>
      </c>
      <c r="C13" s="100" t="s">
        <v>31</v>
      </c>
      <c r="D13" s="105">
        <v>0.20224719101123595</v>
      </c>
      <c r="E13" s="53">
        <v>0.23443634324172744</v>
      </c>
      <c r="F13" s="53">
        <v>0.18764044943820224</v>
      </c>
      <c r="G13" s="53">
        <v>0</v>
      </c>
      <c r="H13" s="53">
        <v>0</v>
      </c>
      <c r="I13" s="53">
        <v>0</v>
      </c>
      <c r="J13" s="105">
        <v>0</v>
      </c>
      <c r="K13" s="53">
        <v>0</v>
      </c>
      <c r="L13" s="53">
        <v>0</v>
      </c>
      <c r="M13" s="105">
        <v>8.3426028921023354E-2</v>
      </c>
      <c r="N13" s="53">
        <v>8.3148558758314853E-2</v>
      </c>
      <c r="O13" s="53">
        <v>0.10122358175750834</v>
      </c>
      <c r="P13" s="53">
        <v>0.11755485893416928</v>
      </c>
      <c r="Q13" s="53">
        <v>0.12345679012345678</v>
      </c>
      <c r="R13" s="53">
        <v>0.12934631432545202</v>
      </c>
      <c r="S13" s="105">
        <v>3.8636363636363635E-2</v>
      </c>
      <c r="T13" s="53">
        <v>4.3771043771043773E-2</v>
      </c>
      <c r="U13" s="53">
        <v>3.3333333333333333E-2</v>
      </c>
      <c r="V13" s="105">
        <v>0.275609756097561</v>
      </c>
      <c r="W13" s="53">
        <v>0.36496350364963503</v>
      </c>
      <c r="X13" s="53">
        <v>0.33170731707317075</v>
      </c>
      <c r="Y13" s="105">
        <v>0.22558922558922559</v>
      </c>
      <c r="Z13" s="53">
        <v>0.2334455667789001</v>
      </c>
      <c r="AA13" s="53">
        <v>0.21661054994388329</v>
      </c>
      <c r="AB13" s="105">
        <v>0.13146997929606624</v>
      </c>
      <c r="AC13" s="53">
        <v>0.11502590673575129</v>
      </c>
      <c r="AD13" s="105">
        <v>0.24482758620689654</v>
      </c>
      <c r="AE13" s="53">
        <v>0.26190476190476192</v>
      </c>
      <c r="AF13" s="105">
        <v>0</v>
      </c>
      <c r="AG13" s="53">
        <v>0</v>
      </c>
    </row>
    <row r="14" spans="1:33" s="28" customFormat="1" x14ac:dyDescent="0.3">
      <c r="A14" s="99"/>
      <c r="B14" s="97" t="s">
        <v>18</v>
      </c>
      <c r="C14" s="100" t="s">
        <v>84</v>
      </c>
      <c r="D14" s="105">
        <v>44.5</v>
      </c>
      <c r="E14" s="53">
        <v>55.9</v>
      </c>
      <c r="F14" s="53">
        <v>46.62</v>
      </c>
      <c r="G14" s="53">
        <v>0</v>
      </c>
      <c r="H14" s="53">
        <v>0</v>
      </c>
      <c r="I14" s="53">
        <v>0</v>
      </c>
      <c r="J14" s="105">
        <v>0</v>
      </c>
      <c r="K14" s="53">
        <v>0</v>
      </c>
      <c r="L14" s="53">
        <v>0</v>
      </c>
      <c r="M14" s="105">
        <v>9.1999999999999993</v>
      </c>
      <c r="N14" s="53">
        <v>2.2999999999999989</v>
      </c>
      <c r="O14" s="53">
        <v>-0.44999999999999929</v>
      </c>
      <c r="P14" s="53">
        <v>19.175000000000001</v>
      </c>
      <c r="Q14" s="53">
        <v>12.5</v>
      </c>
      <c r="R14" s="53">
        <v>56</v>
      </c>
      <c r="S14" s="105">
        <v>-22</v>
      </c>
      <c r="T14" s="53">
        <v>-24.5</v>
      </c>
      <c r="U14" s="53">
        <v>-19.7</v>
      </c>
      <c r="V14" s="105">
        <v>16.75</v>
      </c>
      <c r="W14" s="53">
        <v>11.15</v>
      </c>
      <c r="X14" s="53">
        <v>23.05</v>
      </c>
      <c r="Y14" s="105">
        <v>29.4</v>
      </c>
      <c r="Z14" s="53">
        <v>23</v>
      </c>
      <c r="AA14" s="53">
        <v>28.75</v>
      </c>
      <c r="AB14" s="105">
        <v>7.5</v>
      </c>
      <c r="AC14" s="53">
        <v>21.5</v>
      </c>
      <c r="AD14" s="105">
        <v>22.21</v>
      </c>
      <c r="AE14" s="53">
        <v>30.4</v>
      </c>
      <c r="AF14" s="105">
        <v>0</v>
      </c>
      <c r="AG14" s="53">
        <v>0</v>
      </c>
    </row>
    <row r="15" spans="1:33" s="28" customFormat="1" x14ac:dyDescent="0.3">
      <c r="A15" s="99"/>
      <c r="B15" s="97" t="s">
        <v>14</v>
      </c>
      <c r="C15" s="28" t="s">
        <v>133</v>
      </c>
      <c r="D15" s="105">
        <v>177.35135135135135</v>
      </c>
      <c r="E15" s="53">
        <v>205</v>
      </c>
      <c r="F15" s="53">
        <v>162.14285714285714</v>
      </c>
      <c r="G15" s="101" t="s">
        <v>253</v>
      </c>
      <c r="H15" s="101" t="s">
        <v>253</v>
      </c>
      <c r="I15" s="101" t="s">
        <v>253</v>
      </c>
      <c r="J15" s="105">
        <v>0</v>
      </c>
      <c r="K15" s="53">
        <v>0</v>
      </c>
      <c r="L15" s="53">
        <v>0</v>
      </c>
      <c r="M15" s="105">
        <v>74.147368421052633</v>
      </c>
      <c r="N15" s="53">
        <v>74.326470588235296</v>
      </c>
      <c r="O15" s="53">
        <v>90.442499999999995</v>
      </c>
      <c r="P15" s="53">
        <v>51.5</v>
      </c>
      <c r="Q15" s="53">
        <v>71</v>
      </c>
      <c r="R15" s="101">
        <v>51.3</v>
      </c>
      <c r="S15" s="105">
        <v>34</v>
      </c>
      <c r="T15" s="53">
        <v>39</v>
      </c>
      <c r="U15" s="53">
        <v>29</v>
      </c>
      <c r="V15" s="105">
        <v>109.86428571428571</v>
      </c>
      <c r="W15" s="53">
        <v>145</v>
      </c>
      <c r="X15" s="53">
        <v>132.35714285714286</v>
      </c>
      <c r="Y15" s="105">
        <v>198.5185185185185</v>
      </c>
      <c r="Z15" s="53">
        <v>205.85714285714286</v>
      </c>
      <c r="AA15" s="53">
        <v>190.72413793103448</v>
      </c>
      <c r="AB15" s="105">
        <v>125.125</v>
      </c>
      <c r="AC15" s="53">
        <v>106.78571428571429</v>
      </c>
      <c r="AD15" s="105">
        <v>211.72631578947369</v>
      </c>
      <c r="AE15" s="53">
        <v>217.78</v>
      </c>
      <c r="AF15" s="111" t="s">
        <v>249</v>
      </c>
      <c r="AG15" s="101" t="s">
        <v>249</v>
      </c>
    </row>
    <row r="16" spans="1:33" s="28" customFormat="1" x14ac:dyDescent="0.3">
      <c r="A16" s="99"/>
      <c r="B16" s="97" t="s">
        <v>85</v>
      </c>
      <c r="C16" s="28" t="s">
        <v>23</v>
      </c>
      <c r="D16" s="105">
        <v>0.31111111111111112</v>
      </c>
      <c r="E16" s="53">
        <v>0.32775119617224879</v>
      </c>
      <c r="F16" s="53">
        <v>0.20958083832335328</v>
      </c>
      <c r="G16" s="101" t="s">
        <v>253</v>
      </c>
      <c r="H16" s="101" t="s">
        <v>253</v>
      </c>
      <c r="I16" s="101" t="s">
        <v>253</v>
      </c>
      <c r="J16" s="108" t="s">
        <v>253</v>
      </c>
      <c r="K16" s="102" t="s">
        <v>253</v>
      </c>
      <c r="L16" s="102" t="s">
        <v>253</v>
      </c>
      <c r="M16" s="105">
        <v>0.72</v>
      </c>
      <c r="N16" s="53">
        <v>0.92</v>
      </c>
      <c r="O16" s="53">
        <v>0.53846153846153844</v>
      </c>
      <c r="P16" s="53">
        <v>0.49333333333333335</v>
      </c>
      <c r="Q16" s="53">
        <v>0.52500000000000002</v>
      </c>
      <c r="R16" s="53">
        <v>0.79569892473118276</v>
      </c>
      <c r="S16" s="105">
        <v>1.7058823529411764</v>
      </c>
      <c r="T16" s="53">
        <v>1.7435897435897436</v>
      </c>
      <c r="U16" s="53">
        <v>1.6551724137931034</v>
      </c>
      <c r="V16" s="105">
        <v>0.36283185840707965</v>
      </c>
      <c r="W16" s="53">
        <v>0.4</v>
      </c>
      <c r="X16" s="53">
        <v>0.29411764705882354</v>
      </c>
      <c r="Y16" s="105">
        <v>0.2537313432835821</v>
      </c>
      <c r="Z16" s="53">
        <v>0.28846153846153844</v>
      </c>
      <c r="AA16" s="53">
        <v>0.22797927461139897</v>
      </c>
      <c r="AB16" s="105">
        <v>0.59842519685039375</v>
      </c>
      <c r="AC16" s="53">
        <v>0.52252252252252251</v>
      </c>
      <c r="AD16" s="105">
        <v>0.16901408450704225</v>
      </c>
      <c r="AE16" s="53">
        <v>0.2818181818181818</v>
      </c>
      <c r="AF16" s="111" t="s">
        <v>249</v>
      </c>
      <c r="AG16" s="101" t="s">
        <v>249</v>
      </c>
    </row>
    <row r="17" spans="1:33" s="28" customFormat="1" x14ac:dyDescent="0.3">
      <c r="A17" s="99"/>
      <c r="B17" s="97" t="s">
        <v>86</v>
      </c>
      <c r="C17" s="100" t="s">
        <v>87</v>
      </c>
      <c r="D17" s="105">
        <v>0.20224719101123595</v>
      </c>
      <c r="E17" s="53">
        <v>0.23443634324172744</v>
      </c>
      <c r="F17" s="53">
        <v>0.18764044943820224</v>
      </c>
      <c r="G17" s="53">
        <v>0</v>
      </c>
      <c r="H17" s="53">
        <v>0</v>
      </c>
      <c r="I17" s="53">
        <v>0</v>
      </c>
      <c r="J17" s="105">
        <v>0</v>
      </c>
      <c r="K17" s="53">
        <v>0</v>
      </c>
      <c r="L17" s="53">
        <v>0</v>
      </c>
      <c r="M17" s="105">
        <v>8.3426028921023354E-2</v>
      </c>
      <c r="N17" s="53">
        <v>8.3148558758314853E-2</v>
      </c>
      <c r="O17" s="53">
        <v>0.10122358175750834</v>
      </c>
      <c r="P17" s="53">
        <v>0.11755485893416928</v>
      </c>
      <c r="Q17" s="53">
        <v>0.12345679012345678</v>
      </c>
      <c r="R17" s="53">
        <v>0.12934631432545202</v>
      </c>
      <c r="S17" s="105">
        <v>3.8636363636363635E-2</v>
      </c>
      <c r="T17" s="53">
        <v>4.3771043771043773E-2</v>
      </c>
      <c r="U17" s="53">
        <v>3.3333333333333333E-2</v>
      </c>
      <c r="V17" s="105">
        <v>0.275609756097561</v>
      </c>
      <c r="W17" s="53">
        <v>0.36496350364963503</v>
      </c>
      <c r="X17" s="53">
        <v>0.33170731707317075</v>
      </c>
      <c r="Y17" s="105">
        <v>0.22558922558922559</v>
      </c>
      <c r="Z17" s="53">
        <v>0.2334455667789001</v>
      </c>
      <c r="AA17" s="53">
        <v>0.21661054994388329</v>
      </c>
      <c r="AB17" s="105">
        <v>0.13146997929606624</v>
      </c>
      <c r="AC17" s="53">
        <v>0.11502590673575129</v>
      </c>
      <c r="AD17" s="105">
        <v>0.24482758620689654</v>
      </c>
      <c r="AE17" s="53">
        <v>0.26190476190476192</v>
      </c>
      <c r="AF17" s="105">
        <v>0</v>
      </c>
      <c r="AG17" s="53">
        <v>0</v>
      </c>
    </row>
    <row r="18" spans="1:33" s="28" customFormat="1" x14ac:dyDescent="0.3">
      <c r="A18" s="99"/>
      <c r="B18" s="97" t="s">
        <v>12</v>
      </c>
      <c r="C18" s="28" t="s">
        <v>13</v>
      </c>
      <c r="D18" s="105">
        <v>0.92783505154639179</v>
      </c>
      <c r="E18" s="53">
        <v>1.0245098039215685</v>
      </c>
      <c r="F18" s="53">
        <v>0.96531791907514453</v>
      </c>
      <c r="G18" s="101" t="s">
        <v>253</v>
      </c>
      <c r="H18" s="101" t="s">
        <v>253</v>
      </c>
      <c r="I18" s="101" t="s">
        <v>253</v>
      </c>
      <c r="J18" s="111" t="s">
        <v>253</v>
      </c>
      <c r="K18" s="101" t="s">
        <v>253</v>
      </c>
      <c r="L18" s="101" t="s">
        <v>253</v>
      </c>
      <c r="M18" s="105">
        <v>0.6</v>
      </c>
      <c r="N18" s="53">
        <v>0.66371681415929207</v>
      </c>
      <c r="O18" s="53">
        <v>0.7583333333333333</v>
      </c>
      <c r="P18" s="53">
        <v>1.6304347826086956</v>
      </c>
      <c r="Q18" s="53">
        <v>1.5384615384615385</v>
      </c>
      <c r="R18" s="53">
        <v>0.91176470588235292</v>
      </c>
      <c r="S18" s="105">
        <v>0.97142857142857142</v>
      </c>
      <c r="T18" s="53">
        <v>0.97499999999999998</v>
      </c>
      <c r="U18" s="53">
        <v>0.96666666666666667</v>
      </c>
      <c r="V18" s="105">
        <v>0.67664670658682635</v>
      </c>
      <c r="W18" s="53">
        <v>0.8875739644970414</v>
      </c>
      <c r="X18" s="53">
        <v>0.83435582822085885</v>
      </c>
      <c r="Y18" s="105">
        <v>6.28125</v>
      </c>
      <c r="Z18" s="53">
        <v>5.0731707317073171</v>
      </c>
      <c r="AA18" s="53">
        <v>7.72</v>
      </c>
      <c r="AB18" s="105">
        <v>1.1981132075471699</v>
      </c>
      <c r="AC18" s="53">
        <v>1.247191011235955</v>
      </c>
      <c r="AD18" s="105">
        <v>1.23121387283237</v>
      </c>
      <c r="AE18" s="53">
        <v>0.94827586206896552</v>
      </c>
      <c r="AF18" s="111" t="s">
        <v>249</v>
      </c>
      <c r="AG18" s="101" t="s">
        <v>249</v>
      </c>
    </row>
    <row r="19" spans="1:33" s="28" customFormat="1" x14ac:dyDescent="0.3">
      <c r="A19" s="99"/>
      <c r="B19" s="97" t="s">
        <v>19</v>
      </c>
      <c r="C19" s="28" t="s">
        <v>20</v>
      </c>
      <c r="D19" s="105">
        <v>-120</v>
      </c>
      <c r="E19" s="53">
        <v>-159</v>
      </c>
      <c r="F19" s="53">
        <v>-119</v>
      </c>
      <c r="G19" s="101" t="s">
        <v>253</v>
      </c>
      <c r="H19" s="101" t="s">
        <v>253</v>
      </c>
      <c r="I19" s="101" t="s">
        <v>253</v>
      </c>
      <c r="J19" s="105">
        <v>82</v>
      </c>
      <c r="K19" s="53">
        <v>87</v>
      </c>
      <c r="L19" s="53">
        <v>85</v>
      </c>
      <c r="M19" s="105">
        <v>-18</v>
      </c>
      <c r="N19" s="53">
        <v>-28</v>
      </c>
      <c r="O19" s="53">
        <v>-28</v>
      </c>
      <c r="P19" s="53">
        <v>-59</v>
      </c>
      <c r="Q19" s="53">
        <v>-63</v>
      </c>
      <c r="R19" s="53">
        <v>-86</v>
      </c>
      <c r="S19" s="105">
        <v>13</v>
      </c>
      <c r="T19" s="53">
        <v>3</v>
      </c>
      <c r="U19" s="53">
        <v>23</v>
      </c>
      <c r="V19" s="105">
        <v>-87</v>
      </c>
      <c r="W19" s="53">
        <v>-129</v>
      </c>
      <c r="X19" s="53">
        <v>-103</v>
      </c>
      <c r="Y19" s="105">
        <v>-150</v>
      </c>
      <c r="Z19" s="53">
        <v>-165</v>
      </c>
      <c r="AA19" s="53">
        <v>-141</v>
      </c>
      <c r="AB19" s="105">
        <v>-93</v>
      </c>
      <c r="AC19" s="53">
        <v>-77</v>
      </c>
      <c r="AD19" s="105">
        <v>-159</v>
      </c>
      <c r="AE19" s="53">
        <v>-141</v>
      </c>
      <c r="AF19" s="111" t="s">
        <v>249</v>
      </c>
      <c r="AG19" s="101" t="s">
        <v>249</v>
      </c>
    </row>
    <row r="20" spans="1:33" s="28" customFormat="1" x14ac:dyDescent="0.3">
      <c r="A20" s="99"/>
      <c r="B20" s="97" t="s">
        <v>21</v>
      </c>
      <c r="C20" s="28" t="s">
        <v>22</v>
      </c>
      <c r="D20" s="105">
        <v>0.5161290322580645</v>
      </c>
      <c r="E20" s="53">
        <v>0.74863387978142082</v>
      </c>
      <c r="F20" s="53">
        <v>0.34653465346534651</v>
      </c>
      <c r="G20" s="101" t="s">
        <v>253</v>
      </c>
      <c r="H20" s="101" t="s">
        <v>253</v>
      </c>
      <c r="I20" s="101" t="s">
        <v>253</v>
      </c>
      <c r="J20" s="105">
        <v>0.46739130434782611</v>
      </c>
      <c r="K20" s="53">
        <v>0.55645161290322576</v>
      </c>
      <c r="L20" s="53">
        <v>0.36986301369863012</v>
      </c>
      <c r="M20" s="105">
        <v>0.46153846153846156</v>
      </c>
      <c r="N20" s="53">
        <v>0.55200000000000005</v>
      </c>
      <c r="O20" s="53">
        <v>0.42982456140350878</v>
      </c>
      <c r="P20" s="53">
        <v>0.54411764705882348</v>
      </c>
      <c r="Q20" s="53">
        <v>0.54545454545454541</v>
      </c>
      <c r="R20" s="53">
        <v>0.80434782608695654</v>
      </c>
      <c r="S20" s="105">
        <v>1</v>
      </c>
      <c r="T20" s="53">
        <v>1</v>
      </c>
      <c r="U20" s="53">
        <v>1</v>
      </c>
      <c r="V20" s="105">
        <v>0.49397590361445781</v>
      </c>
      <c r="W20" s="53">
        <v>0.66666666666666663</v>
      </c>
      <c r="X20" s="53">
        <v>0.20725388601036268</v>
      </c>
      <c r="Y20" s="105">
        <v>0.46363636363636362</v>
      </c>
      <c r="Z20" s="53">
        <v>0.51282051282051277</v>
      </c>
      <c r="AA20" s="53">
        <v>0.42307692307692307</v>
      </c>
      <c r="AB20" s="105">
        <v>0.60317460317460314</v>
      </c>
      <c r="AC20" s="53">
        <v>0.5178571428571429</v>
      </c>
      <c r="AD20" s="105">
        <v>0.50704225352112675</v>
      </c>
      <c r="AE20" s="53">
        <v>0.46616541353383456</v>
      </c>
      <c r="AF20" s="111" t="s">
        <v>249</v>
      </c>
      <c r="AG20" s="101" t="s">
        <v>249</v>
      </c>
    </row>
    <row r="21" spans="1:33" s="28" customFormat="1" x14ac:dyDescent="0.3">
      <c r="A21" s="99"/>
      <c r="B21" s="97" t="s">
        <v>2</v>
      </c>
      <c r="C21" s="100" t="s">
        <v>3</v>
      </c>
      <c r="D21" s="105">
        <v>0.7</v>
      </c>
      <c r="E21" s="53">
        <v>0.6116071428571429</v>
      </c>
      <c r="F21" s="53">
        <v>0.58333333333333337</v>
      </c>
      <c r="G21" s="53">
        <v>0</v>
      </c>
      <c r="H21" s="53">
        <v>0</v>
      </c>
      <c r="I21" s="53">
        <v>0</v>
      </c>
      <c r="J21" s="105">
        <v>0.55128205128205132</v>
      </c>
      <c r="K21" s="53">
        <v>0.6216216216216216</v>
      </c>
      <c r="L21" s="53">
        <v>0.52941176470588236</v>
      </c>
      <c r="M21" s="105">
        <v>0.62790697674418605</v>
      </c>
      <c r="N21" s="53">
        <v>0.71134020618556704</v>
      </c>
      <c r="O21" s="53">
        <v>0.620253164556962</v>
      </c>
      <c r="P21" s="53">
        <v>0.29838709677419356</v>
      </c>
      <c r="Q21" s="53">
        <v>0.32307692307692309</v>
      </c>
      <c r="R21" s="53">
        <v>1.0136986301369864</v>
      </c>
      <c r="S21" s="105">
        <v>0.72499999999999998</v>
      </c>
      <c r="T21" s="53">
        <v>0.75555555555555554</v>
      </c>
      <c r="U21" s="53">
        <v>0.68571428571428572</v>
      </c>
      <c r="V21" s="105">
        <v>0.50617283950617287</v>
      </c>
      <c r="W21" s="53">
        <v>0.69767441860465118</v>
      </c>
      <c r="X21" s="53">
        <v>0.59701492537313428</v>
      </c>
      <c r="Y21" s="105">
        <v>0.66233766233766234</v>
      </c>
      <c r="Z21" s="53">
        <v>0.72289156626506024</v>
      </c>
      <c r="AA21" s="53">
        <v>0.61971830985915488</v>
      </c>
      <c r="AB21" s="105">
        <v>1.027027027027027</v>
      </c>
      <c r="AC21" s="53">
        <v>1.2083333333333333</v>
      </c>
      <c r="AD21" s="105">
        <v>0.72</v>
      </c>
      <c r="AE21" s="53">
        <v>0.70454545454545459</v>
      </c>
      <c r="AF21" s="105">
        <v>0</v>
      </c>
      <c r="AG21" s="53">
        <v>0</v>
      </c>
    </row>
    <row r="22" spans="1:33" x14ac:dyDescent="0.3">
      <c r="C22" s="26"/>
      <c r="G22" s="51"/>
      <c r="H22" s="35"/>
      <c r="I22" s="35"/>
      <c r="J22" s="105"/>
      <c r="K22" s="35"/>
      <c r="L22" s="35"/>
      <c r="M22" s="105"/>
      <c r="N22" s="35"/>
      <c r="O22" s="35"/>
      <c r="P22" s="51"/>
      <c r="Q22" s="35"/>
      <c r="R22" s="35"/>
      <c r="S22" s="105"/>
      <c r="T22" s="35"/>
      <c r="U22" s="35"/>
      <c r="V22" s="105"/>
      <c r="W22" s="35"/>
      <c r="X22" s="35"/>
      <c r="Y22" s="105"/>
      <c r="Z22" s="35"/>
      <c r="AA22" s="35"/>
      <c r="AB22" s="105"/>
      <c r="AC22" s="35"/>
      <c r="AD22" s="105"/>
      <c r="AE22" s="35"/>
      <c r="AF22" s="105"/>
      <c r="AG22" s="35"/>
    </row>
    <row r="24" spans="1:33" s="82" customFormat="1" ht="16.5" customHeight="1" x14ac:dyDescent="0.3">
      <c r="A24" s="80">
        <v>1</v>
      </c>
      <c r="B24" s="360" t="s">
        <v>482</v>
      </c>
      <c r="C24" s="360"/>
      <c r="D24" s="107" t="s">
        <v>191</v>
      </c>
      <c r="E24" s="82" t="s">
        <v>191</v>
      </c>
      <c r="F24" s="82" t="s">
        <v>191</v>
      </c>
      <c r="G24" s="85" t="s">
        <v>252</v>
      </c>
      <c r="H24" s="82" t="s">
        <v>252</v>
      </c>
      <c r="I24" s="82" t="s">
        <v>252</v>
      </c>
      <c r="J24" s="107" t="s">
        <v>191</v>
      </c>
      <c r="K24" s="82" t="s">
        <v>191</v>
      </c>
      <c r="L24" s="82" t="s">
        <v>191</v>
      </c>
      <c r="M24" s="107" t="s">
        <v>191</v>
      </c>
      <c r="N24" s="82" t="s">
        <v>191</v>
      </c>
      <c r="O24" s="82" t="s">
        <v>191</v>
      </c>
      <c r="P24" s="58" t="s">
        <v>191</v>
      </c>
      <c r="Q24" s="83" t="s">
        <v>191</v>
      </c>
      <c r="R24" s="83" t="s">
        <v>191</v>
      </c>
      <c r="S24" s="107" t="s">
        <v>191</v>
      </c>
      <c r="T24" s="82" t="s">
        <v>191</v>
      </c>
      <c r="U24" s="82" t="s">
        <v>191</v>
      </c>
      <c r="V24" s="107" t="s">
        <v>191</v>
      </c>
      <c r="W24" s="82" t="s">
        <v>191</v>
      </c>
      <c r="X24" s="82" t="s">
        <v>191</v>
      </c>
      <c r="Y24" s="107" t="s">
        <v>191</v>
      </c>
      <c r="Z24" s="82" t="s">
        <v>191</v>
      </c>
      <c r="AA24" s="82" t="s">
        <v>191</v>
      </c>
      <c r="AB24" s="107" t="s">
        <v>191</v>
      </c>
      <c r="AC24" s="82" t="s">
        <v>191</v>
      </c>
      <c r="AD24" s="107" t="s">
        <v>191</v>
      </c>
      <c r="AE24" s="82" t="s">
        <v>191</v>
      </c>
      <c r="AF24" s="107" t="s">
        <v>252</v>
      </c>
      <c r="AG24" s="82" t="s">
        <v>252</v>
      </c>
    </row>
    <row r="25" spans="1:33" s="82" customFormat="1" x14ac:dyDescent="0.3">
      <c r="A25" s="80" t="s">
        <v>263</v>
      </c>
      <c r="B25" s="358" t="s">
        <v>275</v>
      </c>
      <c r="C25" s="358"/>
      <c r="D25" s="108"/>
      <c r="E25" s="84"/>
      <c r="F25" s="84"/>
      <c r="G25" s="85" t="s">
        <v>191</v>
      </c>
      <c r="H25" s="82" t="s">
        <v>191</v>
      </c>
      <c r="I25" s="82" t="s">
        <v>191</v>
      </c>
      <c r="J25" s="107"/>
      <c r="M25" s="107"/>
      <c r="P25" s="85"/>
      <c r="S25" s="107"/>
      <c r="V25" s="107"/>
      <c r="Y25" s="107"/>
      <c r="AB25" s="107"/>
      <c r="AD25" s="107"/>
      <c r="AF25" s="107" t="s">
        <v>191</v>
      </c>
      <c r="AG25" s="82" t="s">
        <v>191</v>
      </c>
    </row>
    <row r="26" spans="1:33" s="82" customFormat="1" x14ac:dyDescent="0.3">
      <c r="A26" s="80" t="s">
        <v>264</v>
      </c>
      <c r="B26" s="369" t="s">
        <v>32</v>
      </c>
      <c r="C26" s="369"/>
      <c r="D26" s="108"/>
      <c r="E26" s="84"/>
      <c r="F26" s="84"/>
      <c r="G26" s="85" t="s">
        <v>191</v>
      </c>
      <c r="H26" s="82" t="s">
        <v>191</v>
      </c>
      <c r="I26" s="82" t="s">
        <v>191</v>
      </c>
      <c r="J26" s="107"/>
      <c r="M26" s="107"/>
      <c r="P26" s="85"/>
      <c r="S26" s="107"/>
      <c r="V26" s="107"/>
      <c r="Y26" s="107"/>
      <c r="AB26" s="107"/>
      <c r="AD26" s="107"/>
      <c r="AF26" s="126" t="s">
        <v>191</v>
      </c>
      <c r="AG26" s="124" t="s">
        <v>191</v>
      </c>
    </row>
    <row r="27" spans="1:33" s="82" customFormat="1" x14ac:dyDescent="0.3">
      <c r="A27" s="80" t="s">
        <v>265</v>
      </c>
      <c r="B27" s="358" t="s">
        <v>255</v>
      </c>
      <c r="C27" s="358"/>
      <c r="D27" s="108"/>
      <c r="E27" s="84"/>
      <c r="F27" s="84"/>
      <c r="G27" s="85" t="s">
        <v>191</v>
      </c>
      <c r="H27" s="82" t="s">
        <v>191</v>
      </c>
      <c r="I27" s="82" t="s">
        <v>191</v>
      </c>
      <c r="J27" s="107"/>
      <c r="M27" s="107"/>
      <c r="P27" s="85"/>
      <c r="S27" s="107"/>
      <c r="V27" s="107"/>
      <c r="Y27" s="107"/>
      <c r="AB27" s="107"/>
      <c r="AD27" s="107"/>
      <c r="AF27" s="126" t="s">
        <v>191</v>
      </c>
      <c r="AG27" s="124" t="s">
        <v>191</v>
      </c>
    </row>
    <row r="28" spans="1:33" s="82" customFormat="1" ht="16.5" customHeight="1" x14ac:dyDescent="0.3">
      <c r="A28" s="80" t="s">
        <v>266</v>
      </c>
      <c r="B28" s="358" t="s">
        <v>256</v>
      </c>
      <c r="C28" s="358"/>
      <c r="D28" s="108"/>
      <c r="E28" s="84"/>
      <c r="F28" s="84"/>
      <c r="G28" s="85" t="s">
        <v>191</v>
      </c>
      <c r="H28" s="82" t="s">
        <v>191</v>
      </c>
      <c r="I28" s="82" t="s">
        <v>191</v>
      </c>
      <c r="J28" s="107"/>
      <c r="M28" s="107"/>
      <c r="P28" s="358"/>
      <c r="Q28" s="358"/>
      <c r="R28" s="358"/>
      <c r="S28" s="107"/>
      <c r="V28" s="107"/>
      <c r="Y28" s="107"/>
      <c r="AB28" s="107"/>
      <c r="AD28" s="107"/>
      <c r="AF28" s="126" t="s">
        <v>191</v>
      </c>
      <c r="AG28" s="124" t="s">
        <v>191</v>
      </c>
    </row>
    <row r="29" spans="1:33" s="82" customFormat="1" x14ac:dyDescent="0.3">
      <c r="A29" s="80" t="s">
        <v>267</v>
      </c>
      <c r="B29" s="358" t="s">
        <v>35</v>
      </c>
      <c r="C29" s="358"/>
      <c r="D29" s="108"/>
      <c r="E29" s="84"/>
      <c r="F29" s="84"/>
      <c r="G29" s="85" t="s">
        <v>252</v>
      </c>
      <c r="H29" s="82" t="s">
        <v>252</v>
      </c>
      <c r="I29" s="82" t="s">
        <v>252</v>
      </c>
      <c r="J29" s="107"/>
      <c r="M29" s="107"/>
      <c r="P29" s="85"/>
      <c r="S29" s="107"/>
      <c r="V29" s="107"/>
      <c r="Y29" s="107"/>
      <c r="AB29" s="107"/>
      <c r="AD29" s="107"/>
      <c r="AF29" s="126" t="s">
        <v>252</v>
      </c>
      <c r="AG29" s="124" t="s">
        <v>252</v>
      </c>
    </row>
    <row r="30" spans="1:33" s="82" customFormat="1" x14ac:dyDescent="0.3">
      <c r="A30" s="80"/>
      <c r="D30" s="108"/>
      <c r="E30" s="84"/>
      <c r="F30" s="84"/>
      <c r="G30" s="358" t="s">
        <v>480</v>
      </c>
      <c r="H30" s="358"/>
      <c r="I30" s="358"/>
      <c r="J30" s="107"/>
      <c r="M30" s="107"/>
      <c r="P30" s="85"/>
      <c r="S30" s="107"/>
      <c r="V30" s="107"/>
      <c r="Y30" s="107"/>
      <c r="AB30" s="107"/>
      <c r="AD30" s="107"/>
      <c r="AF30" s="358" t="s">
        <v>481</v>
      </c>
      <c r="AG30" s="358"/>
    </row>
    <row r="31" spans="1:33" s="82" customFormat="1" x14ac:dyDescent="0.3">
      <c r="A31" s="80" t="s">
        <v>259</v>
      </c>
      <c r="B31" s="361" t="s">
        <v>260</v>
      </c>
      <c r="C31" s="361"/>
      <c r="D31" s="108" t="s">
        <v>252</v>
      </c>
      <c r="E31" s="84" t="s">
        <v>252</v>
      </c>
      <c r="F31" s="84" t="s">
        <v>252</v>
      </c>
      <c r="G31" s="85"/>
      <c r="J31" s="108" t="s">
        <v>252</v>
      </c>
      <c r="K31" s="84" t="s">
        <v>252</v>
      </c>
      <c r="L31" s="84" t="s">
        <v>252</v>
      </c>
      <c r="M31" s="108" t="s">
        <v>252</v>
      </c>
      <c r="N31" s="84" t="s">
        <v>252</v>
      </c>
      <c r="O31" s="84" t="s">
        <v>252</v>
      </c>
      <c r="P31" s="85" t="s">
        <v>473</v>
      </c>
      <c r="Q31" s="82" t="s">
        <v>473</v>
      </c>
      <c r="R31" s="82" t="s">
        <v>473</v>
      </c>
      <c r="S31" s="108" t="s">
        <v>252</v>
      </c>
      <c r="T31" s="84" t="s">
        <v>252</v>
      </c>
      <c r="U31" s="84" t="s">
        <v>252</v>
      </c>
      <c r="V31" s="108" t="s">
        <v>252</v>
      </c>
      <c r="W31" s="84" t="s">
        <v>252</v>
      </c>
      <c r="X31" s="84" t="s">
        <v>252</v>
      </c>
      <c r="Y31" s="108" t="s">
        <v>252</v>
      </c>
      <c r="Z31" s="84" t="s">
        <v>252</v>
      </c>
      <c r="AA31" s="84" t="s">
        <v>252</v>
      </c>
      <c r="AB31" s="108" t="s">
        <v>252</v>
      </c>
      <c r="AC31" s="84" t="s">
        <v>252</v>
      </c>
      <c r="AD31" s="108" t="s">
        <v>252</v>
      </c>
      <c r="AE31" s="82" t="s">
        <v>252</v>
      </c>
      <c r="AF31" s="107"/>
    </row>
    <row r="32" spans="1:33" s="82" customFormat="1" x14ac:dyDescent="0.3">
      <c r="A32" s="80" t="s">
        <v>268</v>
      </c>
      <c r="B32" s="359" t="s">
        <v>356</v>
      </c>
      <c r="C32" s="359"/>
      <c r="D32" s="108" t="s">
        <v>252</v>
      </c>
      <c r="E32" s="84" t="s">
        <v>252</v>
      </c>
      <c r="F32" s="84" t="s">
        <v>252</v>
      </c>
      <c r="G32" s="85"/>
      <c r="J32" s="107" t="s">
        <v>191</v>
      </c>
      <c r="K32" s="82" t="s">
        <v>191</v>
      </c>
      <c r="L32" s="82" t="s">
        <v>191</v>
      </c>
      <c r="M32" s="112" t="s">
        <v>191</v>
      </c>
      <c r="N32" s="83" t="s">
        <v>191</v>
      </c>
      <c r="O32" s="83" t="s">
        <v>191</v>
      </c>
      <c r="P32" s="85"/>
      <c r="S32" s="107" t="s">
        <v>191</v>
      </c>
      <c r="T32" s="82" t="s">
        <v>191</v>
      </c>
      <c r="U32" s="82" t="s">
        <v>191</v>
      </c>
      <c r="V32" s="112" t="s">
        <v>252</v>
      </c>
      <c r="W32" s="83" t="s">
        <v>191</v>
      </c>
      <c r="X32" s="83" t="s">
        <v>252</v>
      </c>
      <c r="Y32" s="112" t="s">
        <v>252</v>
      </c>
      <c r="Z32" s="83" t="s">
        <v>330</v>
      </c>
      <c r="AA32" s="83" t="s">
        <v>252</v>
      </c>
      <c r="AB32" s="114" t="s">
        <v>191</v>
      </c>
      <c r="AC32" s="79" t="s">
        <v>331</v>
      </c>
      <c r="AD32" s="108" t="s">
        <v>252</v>
      </c>
      <c r="AE32" s="82" t="s">
        <v>252</v>
      </c>
      <c r="AF32" s="107"/>
    </row>
    <row r="33" spans="1:32" s="82" customFormat="1" x14ac:dyDescent="0.3">
      <c r="A33" s="96" t="s">
        <v>268</v>
      </c>
      <c r="B33" s="358" t="s">
        <v>348</v>
      </c>
      <c r="C33" s="358"/>
      <c r="D33" s="108"/>
      <c r="E33" s="84"/>
      <c r="F33" s="84"/>
      <c r="G33" s="85"/>
      <c r="J33" s="107"/>
      <c r="M33" s="112" t="s">
        <v>252</v>
      </c>
      <c r="N33" s="83" t="s">
        <v>252</v>
      </c>
      <c r="O33" s="83" t="s">
        <v>252</v>
      </c>
      <c r="P33" s="85" t="s">
        <v>473</v>
      </c>
      <c r="Q33" s="82" t="s">
        <v>473</v>
      </c>
      <c r="R33" s="82" t="s">
        <v>473</v>
      </c>
      <c r="S33" s="107" t="s">
        <v>329</v>
      </c>
      <c r="T33" s="82" t="s">
        <v>329</v>
      </c>
      <c r="U33" s="82" t="s">
        <v>329</v>
      </c>
      <c r="V33" s="112" t="s">
        <v>252</v>
      </c>
      <c r="W33" s="83" t="s">
        <v>252</v>
      </c>
      <c r="X33" s="83" t="s">
        <v>252</v>
      </c>
      <c r="Y33" s="112" t="s">
        <v>252</v>
      </c>
      <c r="Z33" s="83" t="s">
        <v>252</v>
      </c>
      <c r="AA33" s="83" t="s">
        <v>252</v>
      </c>
      <c r="AB33" s="114" t="s">
        <v>252</v>
      </c>
      <c r="AC33" s="79" t="s">
        <v>252</v>
      </c>
      <c r="AD33" s="108"/>
      <c r="AF33" s="107"/>
    </row>
    <row r="34" spans="1:32" s="82" customFormat="1" x14ac:dyDescent="0.3">
      <c r="A34" s="80"/>
      <c r="D34" s="108"/>
      <c r="E34" s="84"/>
      <c r="F34" s="84"/>
      <c r="G34" s="85"/>
      <c r="J34" s="107"/>
      <c r="M34" s="112"/>
      <c r="N34" s="83"/>
      <c r="O34" s="83"/>
      <c r="P34" s="85"/>
      <c r="S34" s="107"/>
      <c r="V34" s="112"/>
      <c r="W34" s="83"/>
      <c r="X34" s="83"/>
      <c r="Y34" s="112"/>
      <c r="Z34" s="83"/>
      <c r="AA34" s="83"/>
      <c r="AB34" s="114"/>
      <c r="AC34" s="79"/>
      <c r="AD34" s="108"/>
      <c r="AF34" s="107"/>
    </row>
    <row r="35" spans="1:32" s="82" customFormat="1" x14ac:dyDescent="0.3">
      <c r="A35" s="80" t="s">
        <v>269</v>
      </c>
      <c r="B35" s="359" t="s">
        <v>321</v>
      </c>
      <c r="C35" s="359"/>
      <c r="D35" s="108" t="s">
        <v>252</v>
      </c>
      <c r="E35" s="84" t="s">
        <v>252</v>
      </c>
      <c r="F35" s="84" t="s">
        <v>252</v>
      </c>
      <c r="G35" s="85"/>
      <c r="J35" s="107"/>
      <c r="M35" s="108" t="s">
        <v>252</v>
      </c>
      <c r="N35" s="84" t="s">
        <v>252</v>
      </c>
      <c r="O35" s="84" t="s">
        <v>252</v>
      </c>
      <c r="P35" s="85"/>
      <c r="S35" s="107"/>
      <c r="V35" s="108" t="s">
        <v>252</v>
      </c>
      <c r="W35" s="84" t="s">
        <v>252</v>
      </c>
      <c r="X35" s="84" t="s">
        <v>252</v>
      </c>
      <c r="Y35" s="108" t="s">
        <v>252</v>
      </c>
      <c r="Z35" s="84" t="s">
        <v>252</v>
      </c>
      <c r="AA35" s="84" t="s">
        <v>252</v>
      </c>
      <c r="AB35" s="108" t="s">
        <v>332</v>
      </c>
      <c r="AC35" s="84" t="s">
        <v>332</v>
      </c>
      <c r="AD35" s="108" t="s">
        <v>252</v>
      </c>
      <c r="AE35" s="82" t="s">
        <v>317</v>
      </c>
      <c r="AF35" s="107"/>
    </row>
    <row r="36" spans="1:32" s="82" customFormat="1" x14ac:dyDescent="0.3">
      <c r="A36" s="96" t="s">
        <v>349</v>
      </c>
      <c r="B36" s="369" t="s">
        <v>318</v>
      </c>
      <c r="C36" s="369"/>
      <c r="D36" s="108" t="s">
        <v>191</v>
      </c>
      <c r="E36" s="84" t="s">
        <v>191</v>
      </c>
      <c r="F36" s="84" t="s">
        <v>191</v>
      </c>
      <c r="G36" s="85"/>
      <c r="J36" s="107"/>
      <c r="M36" s="107" t="s">
        <v>319</v>
      </c>
      <c r="N36" s="84" t="s">
        <v>319</v>
      </c>
      <c r="O36" s="84" t="s">
        <v>319</v>
      </c>
      <c r="P36" s="85" t="s">
        <v>474</v>
      </c>
      <c r="Q36" s="82" t="s">
        <v>474</v>
      </c>
      <c r="R36" s="82" t="s">
        <v>474</v>
      </c>
      <c r="S36" s="107"/>
      <c r="V36" s="107" t="s">
        <v>319</v>
      </c>
      <c r="W36" s="84" t="s">
        <v>191</v>
      </c>
      <c r="X36" s="84" t="s">
        <v>319</v>
      </c>
      <c r="Y36" s="107" t="s">
        <v>319</v>
      </c>
      <c r="Z36" s="84" t="s">
        <v>319</v>
      </c>
      <c r="AA36" s="84" t="s">
        <v>319</v>
      </c>
      <c r="AB36" s="365" t="s">
        <v>359</v>
      </c>
      <c r="AC36" s="365"/>
      <c r="AD36" s="107" t="s">
        <v>319</v>
      </c>
      <c r="AE36" s="84" t="s">
        <v>320</v>
      </c>
      <c r="AF36" s="107"/>
    </row>
    <row r="37" spans="1:32" s="82" customFormat="1" x14ac:dyDescent="0.3">
      <c r="A37" s="80"/>
      <c r="B37" s="83"/>
      <c r="C37" s="83"/>
      <c r="D37" s="108"/>
      <c r="E37" s="84"/>
      <c r="F37" s="84"/>
      <c r="G37" s="85"/>
      <c r="J37" s="107"/>
      <c r="M37" s="107"/>
      <c r="N37" s="84"/>
      <c r="O37" s="84"/>
      <c r="P37" s="85"/>
      <c r="S37" s="107"/>
      <c r="V37" s="107"/>
      <c r="W37" s="84"/>
      <c r="X37" s="84"/>
      <c r="Y37" s="107"/>
      <c r="Z37" s="84"/>
      <c r="AA37" s="84"/>
      <c r="AB37" s="366"/>
      <c r="AC37" s="366"/>
      <c r="AD37" s="107"/>
      <c r="AE37" s="43"/>
      <c r="AF37" s="107"/>
    </row>
    <row r="38" spans="1:32" s="82" customFormat="1" x14ac:dyDescent="0.3">
      <c r="A38" s="80" t="s">
        <v>288</v>
      </c>
      <c r="B38" s="361" t="s">
        <v>276</v>
      </c>
      <c r="C38" s="361"/>
      <c r="D38" s="107" t="s">
        <v>327</v>
      </c>
      <c r="E38" s="82" t="s">
        <v>328</v>
      </c>
      <c r="F38" s="82" t="s">
        <v>327</v>
      </c>
      <c r="G38" s="85"/>
      <c r="J38" s="107"/>
      <c r="M38" s="107" t="s">
        <v>327</v>
      </c>
      <c r="N38" s="82" t="s">
        <v>328</v>
      </c>
      <c r="P38" s="85" t="s">
        <v>474</v>
      </c>
      <c r="Q38" s="82" t="s">
        <v>474</v>
      </c>
      <c r="R38" s="82" t="s">
        <v>474</v>
      </c>
      <c r="S38" s="107"/>
      <c r="V38" s="107" t="s">
        <v>319</v>
      </c>
      <c r="W38" s="92" t="s">
        <v>191</v>
      </c>
      <c r="X38" s="92" t="s">
        <v>319</v>
      </c>
      <c r="Y38" s="107" t="s">
        <v>327</v>
      </c>
      <c r="Z38" s="92" t="s">
        <v>327</v>
      </c>
      <c r="AA38" s="92" t="s">
        <v>328</v>
      </c>
      <c r="AB38" s="108"/>
      <c r="AC38" s="92"/>
      <c r="AD38" s="107" t="s">
        <v>319</v>
      </c>
      <c r="AE38" s="92" t="s">
        <v>320</v>
      </c>
      <c r="AF38" s="107"/>
    </row>
    <row r="39" spans="1:32" s="82" customFormat="1" x14ac:dyDescent="0.3">
      <c r="A39" s="80" t="s">
        <v>273</v>
      </c>
      <c r="B39" s="360" t="s">
        <v>346</v>
      </c>
      <c r="C39" s="360"/>
      <c r="D39" s="107" t="s">
        <v>327</v>
      </c>
      <c r="E39" s="82" t="s">
        <v>328</v>
      </c>
      <c r="F39" s="82" t="s">
        <v>328</v>
      </c>
      <c r="G39" s="85"/>
      <c r="J39" s="107"/>
      <c r="M39" s="112"/>
      <c r="N39" s="83"/>
      <c r="O39" s="83"/>
      <c r="S39" s="112"/>
      <c r="T39" s="83"/>
      <c r="U39" s="83"/>
      <c r="V39" s="107" t="s">
        <v>319</v>
      </c>
      <c r="W39" s="92" t="s">
        <v>191</v>
      </c>
      <c r="X39" s="92" t="s">
        <v>319</v>
      </c>
      <c r="Y39" s="107" t="s">
        <v>327</v>
      </c>
      <c r="Z39" s="92" t="s">
        <v>327</v>
      </c>
      <c r="AA39" s="92" t="s">
        <v>327</v>
      </c>
      <c r="AB39" s="108"/>
      <c r="AC39" s="92"/>
      <c r="AD39" s="107" t="s">
        <v>319</v>
      </c>
      <c r="AE39" s="92" t="s">
        <v>320</v>
      </c>
      <c r="AF39" s="107"/>
    </row>
    <row r="40" spans="1:32" s="91" customFormat="1" x14ac:dyDescent="0.3">
      <c r="A40" s="96" t="s">
        <v>273</v>
      </c>
      <c r="B40" s="360" t="s">
        <v>355</v>
      </c>
      <c r="C40" s="360"/>
      <c r="D40" s="107"/>
      <c r="G40" s="95"/>
      <c r="J40" s="107"/>
      <c r="M40" s="112" t="s">
        <v>328</v>
      </c>
      <c r="N40" s="93" t="s">
        <v>328</v>
      </c>
      <c r="O40" s="93"/>
      <c r="P40" s="85" t="s">
        <v>474</v>
      </c>
      <c r="Q40" s="82" t="s">
        <v>474</v>
      </c>
      <c r="R40" s="82" t="s">
        <v>474</v>
      </c>
      <c r="S40" s="112"/>
      <c r="T40" s="93"/>
      <c r="U40" s="93"/>
      <c r="V40" s="107"/>
      <c r="W40" s="92"/>
      <c r="X40" s="92"/>
      <c r="Y40" s="107" t="s">
        <v>327</v>
      </c>
      <c r="Z40" s="92" t="s">
        <v>327</v>
      </c>
      <c r="AA40" s="92" t="s">
        <v>327</v>
      </c>
      <c r="AB40" s="108"/>
      <c r="AC40" s="92"/>
      <c r="AD40" s="107"/>
      <c r="AE40" s="92"/>
      <c r="AF40" s="107"/>
    </row>
    <row r="41" spans="1:32" s="82" customFormat="1" x14ac:dyDescent="0.3">
      <c r="A41" s="80" t="s">
        <v>274</v>
      </c>
      <c r="B41" s="361" t="s">
        <v>277</v>
      </c>
      <c r="C41" s="361"/>
      <c r="D41" s="108" t="s">
        <v>327</v>
      </c>
      <c r="E41" s="84" t="s">
        <v>328</v>
      </c>
      <c r="F41" s="84" t="s">
        <v>328</v>
      </c>
      <c r="G41" s="85"/>
      <c r="J41" s="108"/>
      <c r="K41" s="84"/>
      <c r="L41" s="84"/>
      <c r="M41" s="358"/>
      <c r="N41" s="358"/>
      <c r="O41" s="358"/>
      <c r="S41" s="358"/>
      <c r="T41" s="358"/>
      <c r="U41" s="358"/>
      <c r="V41" s="107" t="s">
        <v>319</v>
      </c>
      <c r="W41" s="92" t="s">
        <v>191</v>
      </c>
      <c r="X41" s="92" t="s">
        <v>319</v>
      </c>
      <c r="Y41" s="107"/>
      <c r="Z41" s="92"/>
      <c r="AA41" s="92"/>
      <c r="AB41" s="108"/>
      <c r="AC41" s="92"/>
      <c r="AD41" s="107" t="s">
        <v>319</v>
      </c>
      <c r="AE41" s="92" t="s">
        <v>320</v>
      </c>
      <c r="AF41" s="107"/>
    </row>
    <row r="42" spans="1:32" s="91" customFormat="1" x14ac:dyDescent="0.3">
      <c r="A42" s="96" t="s">
        <v>274</v>
      </c>
      <c r="B42" s="361" t="s">
        <v>352</v>
      </c>
      <c r="C42" s="361"/>
      <c r="D42" s="108" t="s">
        <v>329</v>
      </c>
      <c r="E42" s="92" t="s">
        <v>332</v>
      </c>
      <c r="F42" s="92" t="s">
        <v>332</v>
      </c>
      <c r="G42" s="95"/>
      <c r="J42" s="108"/>
      <c r="K42" s="92"/>
      <c r="L42" s="92"/>
      <c r="M42" s="91" t="s">
        <v>328</v>
      </c>
      <c r="N42" s="91" t="s">
        <v>328</v>
      </c>
      <c r="P42" s="85" t="s">
        <v>473</v>
      </c>
      <c r="Q42" s="82" t="s">
        <v>473</v>
      </c>
      <c r="R42" s="82" t="s">
        <v>473</v>
      </c>
      <c r="V42" s="108" t="s">
        <v>329</v>
      </c>
      <c r="W42" s="92" t="s">
        <v>332</v>
      </c>
      <c r="X42" s="92" t="s">
        <v>332</v>
      </c>
      <c r="Y42" s="114" t="s">
        <v>329</v>
      </c>
      <c r="Z42" s="79" t="s">
        <v>329</v>
      </c>
      <c r="AA42" s="79" t="s">
        <v>329</v>
      </c>
      <c r="AD42" s="117" t="s">
        <v>332</v>
      </c>
      <c r="AE42" s="94" t="s">
        <v>332</v>
      </c>
      <c r="AF42" s="107"/>
    </row>
    <row r="43" spans="1:32" s="82" customFormat="1" x14ac:dyDescent="0.3">
      <c r="A43" s="80" t="s">
        <v>282</v>
      </c>
      <c r="B43" s="361" t="s">
        <v>278</v>
      </c>
      <c r="C43" s="361"/>
      <c r="D43" s="370" t="s">
        <v>351</v>
      </c>
      <c r="E43" s="370"/>
      <c r="F43" s="370"/>
      <c r="G43" s="85"/>
      <c r="J43" s="358"/>
      <c r="K43" s="358"/>
      <c r="L43" s="358"/>
      <c r="M43" s="107" t="s">
        <v>332</v>
      </c>
      <c r="N43" s="82" t="s">
        <v>332</v>
      </c>
      <c r="P43" s="368" t="s">
        <v>478</v>
      </c>
      <c r="Q43" s="368"/>
      <c r="R43" s="368"/>
      <c r="S43" s="107"/>
      <c r="V43" s="361" t="s">
        <v>350</v>
      </c>
      <c r="W43" s="361"/>
      <c r="X43" s="361"/>
      <c r="Y43" s="361" t="s">
        <v>350</v>
      </c>
      <c r="Z43" s="361"/>
      <c r="AA43" s="361"/>
      <c r="AB43" s="107"/>
      <c r="AD43" s="368" t="s">
        <v>350</v>
      </c>
      <c r="AE43" s="368"/>
      <c r="AF43" s="107"/>
    </row>
    <row r="44" spans="1:32" s="82" customFormat="1" x14ac:dyDescent="0.3">
      <c r="A44" s="80"/>
      <c r="D44" s="361"/>
      <c r="E44" s="361"/>
      <c r="F44" s="361"/>
      <c r="G44" s="85"/>
      <c r="J44" s="107"/>
      <c r="M44" s="24" t="s">
        <v>354</v>
      </c>
      <c r="P44" s="85"/>
      <c r="S44" s="107"/>
      <c r="V44" s="107"/>
      <c r="Y44" s="107"/>
      <c r="AB44" s="107"/>
      <c r="AD44" s="107"/>
      <c r="AF44" s="107"/>
    </row>
    <row r="45" spans="1:32" s="82" customFormat="1" x14ac:dyDescent="0.3">
      <c r="A45" s="80" t="s">
        <v>289</v>
      </c>
      <c r="B45" s="361" t="s">
        <v>279</v>
      </c>
      <c r="C45" s="361"/>
      <c r="D45" s="108"/>
      <c r="E45" s="84"/>
      <c r="F45" s="84"/>
      <c r="G45" s="85"/>
      <c r="J45" s="107"/>
      <c r="M45" s="107"/>
      <c r="O45" s="82" t="s">
        <v>327</v>
      </c>
      <c r="P45" s="85"/>
      <c r="S45" s="107" t="s">
        <v>329</v>
      </c>
      <c r="T45" s="82" t="s">
        <v>332</v>
      </c>
      <c r="U45" s="82" t="s">
        <v>332</v>
      </c>
      <c r="V45" s="107"/>
      <c r="Y45" s="107"/>
      <c r="AB45" s="107"/>
      <c r="AD45" s="107"/>
      <c r="AF45" s="107"/>
    </row>
    <row r="46" spans="1:32" s="91" customFormat="1" x14ac:dyDescent="0.3">
      <c r="A46" s="96" t="s">
        <v>289</v>
      </c>
      <c r="B46" s="363" t="s">
        <v>353</v>
      </c>
      <c r="C46" s="363"/>
      <c r="D46" s="108"/>
      <c r="E46" s="92"/>
      <c r="F46" s="92"/>
      <c r="G46" s="95"/>
      <c r="J46" s="107"/>
      <c r="M46" s="107"/>
      <c r="O46" s="91" t="s">
        <v>327</v>
      </c>
      <c r="P46" s="95"/>
      <c r="S46" s="107" t="s">
        <v>327</v>
      </c>
      <c r="T46" s="91" t="s">
        <v>328</v>
      </c>
      <c r="U46" s="91" t="s">
        <v>327</v>
      </c>
      <c r="V46" s="107"/>
      <c r="Y46" s="107"/>
      <c r="AB46" s="107"/>
      <c r="AD46" s="107"/>
      <c r="AF46" s="107"/>
    </row>
    <row r="47" spans="1:32" s="91" customFormat="1" x14ac:dyDescent="0.3">
      <c r="A47" s="80"/>
      <c r="B47" s="92"/>
      <c r="C47" s="92"/>
      <c r="D47" s="108"/>
      <c r="E47" s="92"/>
      <c r="F47" s="92"/>
      <c r="G47" s="95"/>
      <c r="J47" s="107"/>
      <c r="M47" s="107"/>
      <c r="P47" s="95"/>
      <c r="S47" s="367" t="s">
        <v>477</v>
      </c>
      <c r="T47" s="367"/>
      <c r="U47" s="367"/>
      <c r="V47" s="107"/>
      <c r="Y47" s="107"/>
      <c r="AB47" s="107"/>
      <c r="AD47" s="107"/>
      <c r="AF47" s="107"/>
    </row>
    <row r="48" spans="1:32" s="82" customFormat="1" x14ac:dyDescent="0.3">
      <c r="A48" s="80" t="s">
        <v>290</v>
      </c>
      <c r="B48" s="361" t="s">
        <v>280</v>
      </c>
      <c r="C48" s="361"/>
      <c r="D48" s="108"/>
      <c r="E48" s="84"/>
      <c r="F48" s="84"/>
      <c r="G48" s="85"/>
      <c r="J48" s="107"/>
      <c r="M48" s="107"/>
      <c r="P48" s="85"/>
      <c r="S48" s="107"/>
      <c r="V48" s="107"/>
      <c r="Y48" s="107"/>
      <c r="AB48" s="107"/>
      <c r="AD48" s="107"/>
      <c r="AF48" s="107"/>
    </row>
    <row r="49" spans="1:30" x14ac:dyDescent="0.3">
      <c r="A49" s="80" t="s">
        <v>291</v>
      </c>
      <c r="B49" s="361" t="s">
        <v>281</v>
      </c>
      <c r="C49" s="361"/>
      <c r="O49" s="24" t="s">
        <v>327</v>
      </c>
      <c r="S49" s="107"/>
      <c r="T49" s="82"/>
      <c r="U49" s="82"/>
    </row>
    <row r="50" spans="1:30" x14ac:dyDescent="0.3">
      <c r="A50" s="80" t="s">
        <v>292</v>
      </c>
      <c r="B50" s="361" t="s">
        <v>283</v>
      </c>
      <c r="C50" s="361"/>
      <c r="O50" s="24" t="s">
        <v>332</v>
      </c>
      <c r="S50" s="108"/>
      <c r="T50" s="84"/>
      <c r="U50" s="84"/>
    </row>
    <row r="51" spans="1:30" x14ac:dyDescent="0.3">
      <c r="B51" s="92"/>
      <c r="C51" s="92"/>
      <c r="O51" s="24" t="s">
        <v>354</v>
      </c>
      <c r="S51" s="365"/>
      <c r="T51" s="365"/>
      <c r="U51" s="365"/>
    </row>
    <row r="52" spans="1:30" x14ac:dyDescent="0.3">
      <c r="B52" s="91"/>
      <c r="S52" s="361"/>
      <c r="T52" s="361"/>
      <c r="U52" s="361"/>
    </row>
    <row r="53" spans="1:30" x14ac:dyDescent="0.3">
      <c r="A53" s="80" t="s">
        <v>284</v>
      </c>
      <c r="B53" s="359" t="s">
        <v>285</v>
      </c>
      <c r="C53" s="359"/>
      <c r="J53" s="110" t="s">
        <v>332</v>
      </c>
      <c r="K53" s="24" t="s">
        <v>332</v>
      </c>
      <c r="L53" s="24" t="s">
        <v>332</v>
      </c>
      <c r="M53" s="108"/>
      <c r="N53" s="84"/>
      <c r="O53" s="84"/>
      <c r="S53" s="108"/>
      <c r="T53" s="84"/>
      <c r="U53" s="84"/>
      <c r="AB53" s="107"/>
      <c r="AC53" s="82"/>
    </row>
    <row r="54" spans="1:30" x14ac:dyDescent="0.3">
      <c r="A54" s="80" t="s">
        <v>293</v>
      </c>
      <c r="B54" s="361" t="s">
        <v>286</v>
      </c>
      <c r="C54" s="361"/>
      <c r="J54" s="110" t="s">
        <v>328</v>
      </c>
      <c r="K54" s="24" t="s">
        <v>328</v>
      </c>
      <c r="L54" s="24" t="s">
        <v>328</v>
      </c>
      <c r="M54" s="108"/>
      <c r="N54" s="84"/>
      <c r="O54" s="84"/>
      <c r="S54" s="107"/>
      <c r="T54" s="82"/>
      <c r="U54" s="82"/>
      <c r="AB54" s="112"/>
      <c r="AC54" s="83"/>
    </row>
    <row r="55" spans="1:30" x14ac:dyDescent="0.3">
      <c r="B55" s="91"/>
      <c r="M55" s="361"/>
      <c r="N55" s="361"/>
      <c r="O55" s="361"/>
    </row>
    <row r="56" spans="1:30" x14ac:dyDescent="0.3">
      <c r="A56" s="80" t="s">
        <v>342</v>
      </c>
      <c r="B56" s="361" t="s">
        <v>343</v>
      </c>
      <c r="C56" s="361"/>
      <c r="J56" s="110" t="s">
        <v>328</v>
      </c>
      <c r="K56" s="24" t="s">
        <v>328</v>
      </c>
      <c r="L56" s="24" t="s">
        <v>328</v>
      </c>
      <c r="S56" s="107"/>
      <c r="T56" s="82"/>
      <c r="U56" s="82"/>
      <c r="AB56" s="108"/>
      <c r="AC56" s="84"/>
    </row>
    <row r="57" spans="1:30" x14ac:dyDescent="0.3">
      <c r="A57" s="80" t="s">
        <v>294</v>
      </c>
      <c r="B57" s="361" t="s">
        <v>296</v>
      </c>
      <c r="C57" s="361"/>
      <c r="S57" s="108"/>
      <c r="T57" s="84"/>
      <c r="U57" s="84"/>
      <c r="AB57" s="107"/>
      <c r="AC57" s="82"/>
    </row>
    <row r="58" spans="1:30" x14ac:dyDescent="0.3">
      <c r="A58" s="80" t="s">
        <v>295</v>
      </c>
      <c r="B58" s="359" t="s">
        <v>347</v>
      </c>
      <c r="C58" s="359"/>
    </row>
    <row r="59" spans="1:30" x14ac:dyDescent="0.3">
      <c r="B59" s="91"/>
      <c r="C59" s="91"/>
      <c r="S59" s="107"/>
      <c r="T59" s="82"/>
      <c r="U59" s="82"/>
    </row>
    <row r="60" spans="1:30" x14ac:dyDescent="0.3">
      <c r="A60" s="80" t="s">
        <v>299</v>
      </c>
      <c r="B60" s="358" t="s">
        <v>301</v>
      </c>
      <c r="C60" s="358"/>
      <c r="S60" s="108"/>
      <c r="T60" s="84"/>
      <c r="U60" s="84"/>
      <c r="AB60" s="107"/>
      <c r="AC60" s="82"/>
    </row>
    <row r="61" spans="1:30" x14ac:dyDescent="0.3">
      <c r="A61" s="80" t="s">
        <v>300</v>
      </c>
      <c r="B61" s="359" t="s">
        <v>302</v>
      </c>
      <c r="C61" s="359"/>
      <c r="S61" s="361"/>
      <c r="T61" s="361"/>
      <c r="U61" s="361"/>
      <c r="AB61" s="361"/>
      <c r="AC61" s="361"/>
      <c r="AD61" s="361"/>
    </row>
    <row r="62" spans="1:30" x14ac:dyDescent="0.3">
      <c r="B62" s="91"/>
    </row>
    <row r="63" spans="1:30" x14ac:dyDescent="0.3">
      <c r="A63" s="80" t="s">
        <v>297</v>
      </c>
      <c r="B63" s="358" t="s">
        <v>298</v>
      </c>
      <c r="C63" s="358"/>
      <c r="J63" s="110" t="s">
        <v>332</v>
      </c>
      <c r="K63" s="24" t="s">
        <v>332</v>
      </c>
      <c r="L63" s="24" t="s">
        <v>332</v>
      </c>
    </row>
    <row r="64" spans="1:30" x14ac:dyDescent="0.3">
      <c r="A64" s="96" t="s">
        <v>297</v>
      </c>
      <c r="B64" s="358" t="s">
        <v>360</v>
      </c>
      <c r="C64" s="358"/>
      <c r="J64" s="110" t="s">
        <v>361</v>
      </c>
      <c r="K64" s="24" t="s">
        <v>362</v>
      </c>
      <c r="L64" s="24" t="s">
        <v>363</v>
      </c>
    </row>
    <row r="65" spans="1:12" x14ac:dyDescent="0.3">
      <c r="A65" s="80" t="s">
        <v>338</v>
      </c>
      <c r="B65" s="358" t="s">
        <v>340</v>
      </c>
      <c r="C65" s="358"/>
      <c r="J65" s="110" t="s">
        <v>332</v>
      </c>
      <c r="K65" s="24" t="s">
        <v>332</v>
      </c>
      <c r="L65" s="24" t="s">
        <v>336</v>
      </c>
    </row>
    <row r="66" spans="1:12" x14ac:dyDescent="0.3">
      <c r="A66" s="80" t="s">
        <v>339</v>
      </c>
      <c r="B66" s="358" t="s">
        <v>341</v>
      </c>
      <c r="C66" s="358"/>
      <c r="J66" s="367" t="s">
        <v>364</v>
      </c>
      <c r="K66" s="367"/>
      <c r="L66" s="367"/>
    </row>
  </sheetData>
  <mergeCells count="54">
    <mergeCell ref="J66:L66"/>
    <mergeCell ref="B66:C66"/>
    <mergeCell ref="B42:C42"/>
    <mergeCell ref="D43:F43"/>
    <mergeCell ref="B46:C46"/>
    <mergeCell ref="B64:C64"/>
    <mergeCell ref="P28:R28"/>
    <mergeCell ref="B58:C58"/>
    <mergeCell ref="B61:C61"/>
    <mergeCell ref="B63:C63"/>
    <mergeCell ref="B65:C65"/>
    <mergeCell ref="B40:C40"/>
    <mergeCell ref="B29:C29"/>
    <mergeCell ref="G30:I30"/>
    <mergeCell ref="B56:C56"/>
    <mergeCell ref="B57:C57"/>
    <mergeCell ref="B33:C33"/>
    <mergeCell ref="B36:C36"/>
    <mergeCell ref="B35:C35"/>
    <mergeCell ref="P43:R43"/>
    <mergeCell ref="B24:C24"/>
    <mergeCell ref="B25:C25"/>
    <mergeCell ref="B26:C26"/>
    <mergeCell ref="B27:C27"/>
    <mergeCell ref="B28:C28"/>
    <mergeCell ref="AF30:AG30"/>
    <mergeCell ref="B31:C31"/>
    <mergeCell ref="B32:C32"/>
    <mergeCell ref="B54:C54"/>
    <mergeCell ref="M55:O55"/>
    <mergeCell ref="AD43:AE43"/>
    <mergeCell ref="D44:F44"/>
    <mergeCell ref="B45:C45"/>
    <mergeCell ref="B48:C48"/>
    <mergeCell ref="B49:C49"/>
    <mergeCell ref="B50:C50"/>
    <mergeCell ref="B43:C43"/>
    <mergeCell ref="J43:L43"/>
    <mergeCell ref="V43:X43"/>
    <mergeCell ref="Y43:AA43"/>
    <mergeCell ref="S51:U51"/>
    <mergeCell ref="AB36:AC36"/>
    <mergeCell ref="B60:C60"/>
    <mergeCell ref="S61:U61"/>
    <mergeCell ref="AB61:AD61"/>
    <mergeCell ref="AB37:AC37"/>
    <mergeCell ref="S52:U52"/>
    <mergeCell ref="B53:C53"/>
    <mergeCell ref="B41:C41"/>
    <mergeCell ref="M41:O41"/>
    <mergeCell ref="S41:U41"/>
    <mergeCell ref="B38:C38"/>
    <mergeCell ref="B39:C39"/>
    <mergeCell ref="S47:U47"/>
  </mergeCells>
  <phoneticPr fontId="1" type="noConversion"/>
  <pageMargins left="0.7" right="0.7" top="0.75" bottom="0.75" header="0.3" footer="0.3"/>
  <pageSetup paperSize="9" orientation="portrait" horizontalDpi="4294967295" verticalDpi="4294967295" r:id="rId1"/>
  <ignoredErrors>
    <ignoredError sqref="A43:A44 A31:A35 AF1 AB1 A65:C66 A41 A45:C45 A48:C49 A50:C50 A38:A39 A52:C63" numberStoredAsText="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22"/>
  <sheetViews>
    <sheetView workbookViewId="0">
      <pane xSplit="4" topLeftCell="E1" activePane="topRight" state="frozen"/>
      <selection pane="topRight" activeCell="X3" sqref="X3"/>
    </sheetView>
  </sheetViews>
  <sheetFormatPr defaultRowHeight="12" x14ac:dyDescent="0.3"/>
  <cols>
    <col min="1" max="1" width="2.375" style="135" bestFit="1" customWidth="1"/>
    <col min="2" max="4" width="9" style="135"/>
    <col min="5" max="5" width="6.75" style="135" bestFit="1" customWidth="1"/>
    <col min="6" max="6" width="5.875" style="135" bestFit="1" customWidth="1"/>
    <col min="7" max="8" width="6.75" style="135" bestFit="1" customWidth="1"/>
    <col min="9" max="9" width="5.875" style="135" bestFit="1" customWidth="1"/>
    <col min="10" max="11" width="6.75" style="135" bestFit="1" customWidth="1"/>
    <col min="12" max="12" width="5.875" style="135" bestFit="1" customWidth="1"/>
    <col min="13" max="14" width="6.75" style="135" bestFit="1" customWidth="1"/>
    <col min="15" max="15" width="5.875" style="135" bestFit="1" customWidth="1"/>
    <col min="16" max="16" width="6.75" style="135" bestFit="1" customWidth="1"/>
    <col min="17" max="18" width="5.875" style="135" bestFit="1" customWidth="1"/>
    <col min="19" max="19" width="6.75" style="135" bestFit="1" customWidth="1"/>
    <col min="20" max="20" width="7.375" style="135" bestFit="1" customWidth="1"/>
    <col min="21" max="21" width="6.875" style="135" bestFit="1" customWidth="1"/>
    <col min="22" max="22" width="6.75" style="135" bestFit="1" customWidth="1"/>
    <col min="23" max="23" width="8.875" style="135" bestFit="1" customWidth="1"/>
    <col min="24" max="24" width="8.375" style="135" bestFit="1" customWidth="1"/>
    <col min="25" max="25" width="8.25" style="135" bestFit="1" customWidth="1"/>
    <col min="26" max="26" width="6.75" style="135" bestFit="1" customWidth="1"/>
    <col min="27" max="27" width="5.875" style="135" bestFit="1" customWidth="1"/>
    <col min="28" max="28" width="6.75" style="135" bestFit="1" customWidth="1"/>
    <col min="29" max="29" width="7.875" style="135" bestFit="1" customWidth="1"/>
    <col min="30" max="30" width="7.25" style="135" bestFit="1" customWidth="1"/>
    <col min="31" max="31" width="6.75" style="135" bestFit="1" customWidth="1"/>
    <col min="32" max="32" width="6.5" style="135" bestFit="1" customWidth="1"/>
    <col min="33" max="33" width="6.75" style="135" bestFit="1" customWidth="1"/>
    <col min="34" max="34" width="6.5" style="135" bestFit="1" customWidth="1"/>
    <col min="35" max="16384" width="9" style="135"/>
  </cols>
  <sheetData>
    <row r="1" spans="1:34" s="127" customFormat="1" ht="18" customHeight="1" x14ac:dyDescent="0.3">
      <c r="E1" s="140" t="s">
        <v>368</v>
      </c>
      <c r="F1" s="128" t="s">
        <v>187</v>
      </c>
      <c r="G1" s="128" t="s">
        <v>188</v>
      </c>
      <c r="H1" s="140" t="s">
        <v>369</v>
      </c>
      <c r="I1" s="128" t="s">
        <v>194</v>
      </c>
      <c r="J1" s="128" t="s">
        <v>195</v>
      </c>
      <c r="K1" s="129" t="s">
        <v>202</v>
      </c>
      <c r="L1" s="130" t="s">
        <v>200</v>
      </c>
      <c r="M1" s="131" t="s">
        <v>201</v>
      </c>
      <c r="N1" s="129" t="s">
        <v>203</v>
      </c>
      <c r="O1" s="130" t="s">
        <v>204</v>
      </c>
      <c r="P1" s="131" t="s">
        <v>205</v>
      </c>
      <c r="Q1" s="132" t="s">
        <v>217</v>
      </c>
      <c r="R1" s="131" t="s">
        <v>218</v>
      </c>
      <c r="S1" s="131" t="s">
        <v>219</v>
      </c>
      <c r="T1" s="132" t="s">
        <v>220</v>
      </c>
      <c r="U1" s="131" t="s">
        <v>221</v>
      </c>
      <c r="V1" s="131" t="s">
        <v>222</v>
      </c>
      <c r="W1" s="132" t="s">
        <v>223</v>
      </c>
      <c r="X1" s="131" t="s">
        <v>224</v>
      </c>
      <c r="Y1" s="131" t="s">
        <v>232</v>
      </c>
      <c r="Z1" s="133" t="s">
        <v>231</v>
      </c>
      <c r="AA1" s="134" t="s">
        <v>230</v>
      </c>
      <c r="AB1" s="134" t="s">
        <v>229</v>
      </c>
      <c r="AC1" s="133" t="s">
        <v>228</v>
      </c>
      <c r="AD1" s="134" t="s">
        <v>227</v>
      </c>
      <c r="AE1" s="132" t="s">
        <v>225</v>
      </c>
      <c r="AF1" s="134" t="s">
        <v>226</v>
      </c>
      <c r="AG1" s="131" t="s">
        <v>247</v>
      </c>
      <c r="AH1" s="131" t="s">
        <v>248</v>
      </c>
    </row>
    <row r="2" spans="1:34" s="136" customFormat="1" x14ac:dyDescent="0.3">
      <c r="A2" s="136">
        <v>3</v>
      </c>
      <c r="B2" s="136" t="s">
        <v>366</v>
      </c>
    </row>
    <row r="3" spans="1:34" s="139" customFormat="1" x14ac:dyDescent="0.3">
      <c r="B3" s="139" t="s">
        <v>367</v>
      </c>
      <c r="C3" s="139" t="s">
        <v>507</v>
      </c>
      <c r="E3" s="139">
        <v>11.410256410256411</v>
      </c>
      <c r="F3" s="139">
        <v>7.9598214285714288</v>
      </c>
      <c r="G3" s="139">
        <v>14.833333333333334</v>
      </c>
      <c r="H3" s="139">
        <v>10.113636363636363</v>
      </c>
      <c r="I3" s="139">
        <v>7.5982905982905979</v>
      </c>
      <c r="J3" s="139">
        <v>13.088235294117647</v>
      </c>
      <c r="K3" s="139">
        <v>12.051282051282051</v>
      </c>
      <c r="L3" s="139">
        <v>8.468468468468469</v>
      </c>
      <c r="M3" s="139">
        <v>18.431372549019606</v>
      </c>
      <c r="N3" s="139">
        <v>10.453488372093023</v>
      </c>
      <c r="O3" s="139">
        <v>8.9306930693069315</v>
      </c>
      <c r="P3" s="139">
        <v>11.525641025641026</v>
      </c>
      <c r="Q3" s="139">
        <v>6.134615384615385</v>
      </c>
      <c r="R3" s="139">
        <v>5.6842105263157894</v>
      </c>
      <c r="S3" s="139">
        <v>10.271428571428572</v>
      </c>
      <c r="T3" s="139">
        <v>11</v>
      </c>
      <c r="U3" s="139">
        <v>9.9</v>
      </c>
      <c r="V3" s="139">
        <v>12.428571428571429</v>
      </c>
      <c r="W3" s="139">
        <v>5.0617283950617287</v>
      </c>
      <c r="X3" s="139">
        <v>3.7706422018348622</v>
      </c>
      <c r="Y3" s="139">
        <v>7.068965517241379</v>
      </c>
      <c r="Z3" s="139">
        <v>11.571428571428571</v>
      </c>
      <c r="AA3" s="139">
        <v>9.791208791208792</v>
      </c>
      <c r="AB3" s="139">
        <v>13.298507462686567</v>
      </c>
      <c r="AC3" s="139">
        <v>12.545454545454545</v>
      </c>
      <c r="AD3" s="139">
        <v>19.693877551020407</v>
      </c>
      <c r="AE3" s="139">
        <v>16.73076923076923</v>
      </c>
      <c r="AF3" s="139">
        <v>9.4382022471910112</v>
      </c>
      <c r="AG3" s="139">
        <v>13.19047619047619</v>
      </c>
      <c r="AH3" s="139">
        <v>9.5813953488372086</v>
      </c>
    </row>
    <row r="5" spans="1:34" x14ac:dyDescent="0.3">
      <c r="B5" s="49" t="s">
        <v>370</v>
      </c>
    </row>
    <row r="6" spans="1:34" x14ac:dyDescent="0.3">
      <c r="B6" s="135" t="s">
        <v>371</v>
      </c>
    </row>
    <row r="7" spans="1:34" x14ac:dyDescent="0.3">
      <c r="B7" s="135" t="s">
        <v>372</v>
      </c>
    </row>
    <row r="8" spans="1:34" x14ac:dyDescent="0.3">
      <c r="B8" s="135" t="s">
        <v>373</v>
      </c>
      <c r="M8" s="135" t="s">
        <v>382</v>
      </c>
      <c r="AD8" s="135" t="s">
        <v>252</v>
      </c>
      <c r="AE8" s="135" t="s">
        <v>252</v>
      </c>
    </row>
    <row r="9" spans="1:34" x14ac:dyDescent="0.3">
      <c r="B9" s="137" t="s">
        <v>386</v>
      </c>
      <c r="G9" s="137" t="s">
        <v>387</v>
      </c>
      <c r="J9" s="137" t="s">
        <v>382</v>
      </c>
      <c r="M9" s="135" t="s">
        <v>547</v>
      </c>
      <c r="AB9" s="137" t="s">
        <v>382</v>
      </c>
      <c r="AG9" s="137" t="s">
        <v>388</v>
      </c>
    </row>
    <row r="10" spans="1:34" x14ac:dyDescent="0.3">
      <c r="B10" s="135" t="s">
        <v>374</v>
      </c>
      <c r="E10" s="135" t="s">
        <v>382</v>
      </c>
      <c r="G10" s="135" t="s">
        <v>383</v>
      </c>
      <c r="H10" s="135" t="s">
        <v>382</v>
      </c>
      <c r="J10" s="135" t="s">
        <v>384</v>
      </c>
      <c r="K10" s="135" t="s">
        <v>385</v>
      </c>
      <c r="N10" s="138" t="s">
        <v>382</v>
      </c>
      <c r="O10" s="138"/>
      <c r="P10" s="138" t="s">
        <v>382</v>
      </c>
      <c r="S10" s="135" t="s">
        <v>252</v>
      </c>
      <c r="T10" s="138" t="s">
        <v>252</v>
      </c>
      <c r="U10" s="138"/>
      <c r="V10" s="138" t="s">
        <v>252</v>
      </c>
      <c r="Z10" s="135" t="s">
        <v>252</v>
      </c>
      <c r="AB10" s="135" t="s">
        <v>252</v>
      </c>
      <c r="AC10" s="135" t="s">
        <v>252</v>
      </c>
      <c r="AG10" s="135" t="s">
        <v>252</v>
      </c>
    </row>
    <row r="11" spans="1:34" x14ac:dyDescent="0.3">
      <c r="B11" s="137" t="s">
        <v>501</v>
      </c>
      <c r="K11" s="137" t="s">
        <v>387</v>
      </c>
      <c r="P11" s="137" t="s">
        <v>387</v>
      </c>
      <c r="V11" s="137" t="s">
        <v>388</v>
      </c>
    </row>
    <row r="12" spans="1:34" x14ac:dyDescent="0.3">
      <c r="B12" s="135" t="s">
        <v>375</v>
      </c>
    </row>
    <row r="13" spans="1:34" x14ac:dyDescent="0.3">
      <c r="B13" s="137" t="s">
        <v>502</v>
      </c>
      <c r="E13" s="137" t="s">
        <v>387</v>
      </c>
      <c r="T13" s="137" t="s">
        <v>388</v>
      </c>
      <c r="AA13" s="135" t="s">
        <v>252</v>
      </c>
      <c r="AF13" s="135" t="s">
        <v>252</v>
      </c>
      <c r="AH13" s="135" t="s">
        <v>252</v>
      </c>
    </row>
    <row r="14" spans="1:34" x14ac:dyDescent="0.3">
      <c r="B14" s="135" t="s">
        <v>376</v>
      </c>
      <c r="Q14" s="135" t="s">
        <v>252</v>
      </c>
      <c r="R14" s="135" t="s">
        <v>252</v>
      </c>
      <c r="Y14" s="135" t="s">
        <v>252</v>
      </c>
    </row>
    <row r="15" spans="1:34" x14ac:dyDescent="0.3">
      <c r="B15" s="137" t="s">
        <v>504</v>
      </c>
      <c r="H15" s="137" t="s">
        <v>387</v>
      </c>
      <c r="N15" s="137" t="s">
        <v>503</v>
      </c>
      <c r="S15" s="137" t="s">
        <v>388</v>
      </c>
      <c r="U15" s="137" t="s">
        <v>388</v>
      </c>
    </row>
    <row r="16" spans="1:34" x14ac:dyDescent="0.3">
      <c r="B16" s="135" t="s">
        <v>377</v>
      </c>
      <c r="W16" s="135" t="s">
        <v>252</v>
      </c>
    </row>
    <row r="17" spans="2:24" x14ac:dyDescent="0.3">
      <c r="B17" s="137" t="s">
        <v>505</v>
      </c>
      <c r="F17" s="137" t="s">
        <v>387</v>
      </c>
      <c r="I17" s="137" t="s">
        <v>387</v>
      </c>
      <c r="L17" s="137" t="s">
        <v>387</v>
      </c>
      <c r="O17" s="137" t="s">
        <v>387</v>
      </c>
      <c r="Q17" s="137" t="s">
        <v>388</v>
      </c>
    </row>
    <row r="18" spans="2:24" x14ac:dyDescent="0.3">
      <c r="B18" s="135" t="s">
        <v>378</v>
      </c>
      <c r="X18" s="135" t="s">
        <v>252</v>
      </c>
    </row>
    <row r="19" spans="2:24" x14ac:dyDescent="0.3">
      <c r="B19" s="137" t="s">
        <v>506</v>
      </c>
      <c r="R19" s="137" t="s">
        <v>388</v>
      </c>
    </row>
    <row r="20" spans="2:24" x14ac:dyDescent="0.3">
      <c r="B20" s="135" t="s">
        <v>379</v>
      </c>
    </row>
    <row r="21" spans="2:24" x14ac:dyDescent="0.3">
      <c r="B21" s="135" t="s">
        <v>380</v>
      </c>
    </row>
    <row r="22" spans="2:24" x14ac:dyDescent="0.3">
      <c r="B22" s="135" t="s">
        <v>381</v>
      </c>
    </row>
  </sheetData>
  <phoneticPr fontId="1" type="noConversion"/>
  <pageMargins left="0.7" right="0.7" top="0.75" bottom="0.75" header="0.3" footer="0.3"/>
  <pageSetup paperSize="9" orientation="portrait" horizontalDpi="4294967295" verticalDpi="4294967295"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21"/>
  <sheetViews>
    <sheetView workbookViewId="0">
      <selection activeCell="B1" sqref="B1"/>
    </sheetView>
  </sheetViews>
  <sheetFormatPr defaultRowHeight="12" x14ac:dyDescent="0.3"/>
  <cols>
    <col min="1" max="1" width="2.375" style="135" bestFit="1" customWidth="1"/>
    <col min="2" max="4" width="9" style="135"/>
    <col min="5" max="22" width="7.625" style="135" bestFit="1" customWidth="1"/>
    <col min="23" max="23" width="8.875" style="135" bestFit="1" customWidth="1"/>
    <col min="24" max="24" width="8.375" style="135" bestFit="1" customWidth="1"/>
    <col min="25" max="25" width="8.25" style="135" bestFit="1" customWidth="1"/>
    <col min="26" max="28" width="7.625" style="135" bestFit="1" customWidth="1"/>
    <col min="29" max="29" width="7.875" style="135" bestFit="1" customWidth="1"/>
    <col min="30" max="34" width="7.625" style="135" bestFit="1" customWidth="1"/>
    <col min="35" max="16384" width="9" style="135"/>
  </cols>
  <sheetData>
    <row r="1" spans="1:34" s="127" customFormat="1" ht="54" customHeight="1" x14ac:dyDescent="0.3">
      <c r="E1" s="140" t="s">
        <v>404</v>
      </c>
      <c r="F1" s="128" t="s">
        <v>187</v>
      </c>
      <c r="G1" s="128" t="s">
        <v>188</v>
      </c>
      <c r="H1" s="140" t="s">
        <v>405</v>
      </c>
      <c r="I1" s="128" t="s">
        <v>194</v>
      </c>
      <c r="J1" s="128" t="s">
        <v>195</v>
      </c>
      <c r="K1" s="129" t="s">
        <v>202</v>
      </c>
      <c r="L1" s="130" t="s">
        <v>200</v>
      </c>
      <c r="M1" s="131" t="s">
        <v>201</v>
      </c>
      <c r="N1" s="129" t="s">
        <v>203</v>
      </c>
      <c r="O1" s="130" t="s">
        <v>204</v>
      </c>
      <c r="P1" s="131" t="s">
        <v>205</v>
      </c>
      <c r="Q1" s="132" t="s">
        <v>217</v>
      </c>
      <c r="R1" s="131" t="s">
        <v>218</v>
      </c>
      <c r="S1" s="131" t="s">
        <v>219</v>
      </c>
      <c r="T1" s="132" t="s">
        <v>220</v>
      </c>
      <c r="U1" s="131" t="s">
        <v>221</v>
      </c>
      <c r="V1" s="131" t="s">
        <v>222</v>
      </c>
      <c r="W1" s="132" t="s">
        <v>223</v>
      </c>
      <c r="X1" s="131" t="s">
        <v>224</v>
      </c>
      <c r="Y1" s="131" t="s">
        <v>232</v>
      </c>
      <c r="Z1" s="133" t="s">
        <v>231</v>
      </c>
      <c r="AA1" s="134" t="s">
        <v>230</v>
      </c>
      <c r="AB1" s="134" t="s">
        <v>229</v>
      </c>
      <c r="AC1" s="133" t="s">
        <v>228</v>
      </c>
      <c r="AD1" s="134" t="s">
        <v>227</v>
      </c>
      <c r="AE1" s="132" t="s">
        <v>225</v>
      </c>
      <c r="AF1" s="134" t="s">
        <v>226</v>
      </c>
      <c r="AG1" s="131" t="s">
        <v>247</v>
      </c>
      <c r="AH1" s="131" t="s">
        <v>248</v>
      </c>
    </row>
    <row r="2" spans="1:34" x14ac:dyDescent="0.3">
      <c r="A2" s="135">
        <v>4</v>
      </c>
      <c r="B2" s="135" t="s">
        <v>389</v>
      </c>
    </row>
    <row r="3" spans="1:34" s="139" customFormat="1" x14ac:dyDescent="0.3">
      <c r="B3" s="139" t="s">
        <v>390</v>
      </c>
      <c r="C3" s="139" t="s">
        <v>391</v>
      </c>
      <c r="E3" s="139">
        <v>815.5</v>
      </c>
      <c r="F3" s="139">
        <v>807</v>
      </c>
      <c r="G3" s="139">
        <v>813</v>
      </c>
      <c r="H3" s="139">
        <v>769.5</v>
      </c>
      <c r="I3" s="139">
        <v>799</v>
      </c>
      <c r="J3" s="139">
        <v>604</v>
      </c>
      <c r="K3" s="139">
        <v>856</v>
      </c>
      <c r="L3" s="139">
        <v>855.5</v>
      </c>
      <c r="M3" s="139">
        <v>856</v>
      </c>
      <c r="N3" s="139">
        <v>859</v>
      </c>
      <c r="O3" s="139">
        <v>871</v>
      </c>
      <c r="P3" s="139">
        <v>851</v>
      </c>
      <c r="Q3" s="139">
        <v>882</v>
      </c>
      <c r="R3" s="139">
        <v>845</v>
      </c>
      <c r="S3" s="139">
        <v>865.5</v>
      </c>
      <c r="T3" s="139">
        <v>801.5</v>
      </c>
      <c r="U3" s="139">
        <v>801.5</v>
      </c>
      <c r="V3" s="139">
        <v>801.5</v>
      </c>
      <c r="W3" s="139">
        <v>629.5</v>
      </c>
      <c r="X3" s="139">
        <v>623</v>
      </c>
      <c r="Y3" s="139">
        <v>618</v>
      </c>
      <c r="Z3" s="139">
        <v>815</v>
      </c>
      <c r="AA3" s="139">
        <v>820.5</v>
      </c>
      <c r="AB3" s="139">
        <v>813</v>
      </c>
      <c r="AC3" s="139">
        <v>890.5</v>
      </c>
      <c r="AD3" s="139">
        <v>828</v>
      </c>
      <c r="AE3" s="139">
        <v>851.5</v>
      </c>
      <c r="AF3" s="139">
        <v>854.5</v>
      </c>
      <c r="AG3" s="139">
        <v>794</v>
      </c>
      <c r="AH3" s="139">
        <v>859.5</v>
      </c>
    </row>
    <row r="4" spans="1:34" s="139" customFormat="1" x14ac:dyDescent="0.3">
      <c r="B4" s="139" t="s">
        <v>392</v>
      </c>
      <c r="C4" s="139" t="s">
        <v>393</v>
      </c>
      <c r="E4" s="139">
        <v>852.5</v>
      </c>
      <c r="F4" s="139">
        <v>870.5</v>
      </c>
      <c r="G4" s="139">
        <v>842.5</v>
      </c>
      <c r="H4" s="139">
        <v>840</v>
      </c>
      <c r="I4" s="139">
        <v>839.5</v>
      </c>
      <c r="J4" s="139">
        <v>860.5</v>
      </c>
      <c r="K4" s="139">
        <v>876.5</v>
      </c>
      <c r="L4" s="139">
        <v>876.5</v>
      </c>
      <c r="M4" s="139">
        <v>875</v>
      </c>
      <c r="N4" s="139">
        <v>900</v>
      </c>
      <c r="O4" s="139">
        <v>914</v>
      </c>
      <c r="P4" s="139">
        <v>888</v>
      </c>
      <c r="Q4" s="139">
        <v>882.5</v>
      </c>
      <c r="R4" s="139">
        <v>769</v>
      </c>
      <c r="S4" s="139">
        <v>877</v>
      </c>
      <c r="T4" s="139">
        <v>823.5</v>
      </c>
      <c r="U4" s="139">
        <v>824.5</v>
      </c>
      <c r="V4" s="139">
        <v>824</v>
      </c>
      <c r="W4" s="139">
        <v>632.5</v>
      </c>
      <c r="X4" s="139">
        <v>639.5</v>
      </c>
      <c r="Y4" s="139">
        <v>630.5</v>
      </c>
      <c r="Z4" s="139">
        <v>867</v>
      </c>
      <c r="AA4" s="139">
        <v>866.5</v>
      </c>
      <c r="AB4" s="139">
        <v>870.5</v>
      </c>
      <c r="AC4" s="139">
        <v>887</v>
      </c>
      <c r="AD4" s="139">
        <v>850</v>
      </c>
      <c r="AE4" s="139">
        <v>889.5</v>
      </c>
      <c r="AF4" s="139">
        <v>917</v>
      </c>
      <c r="AG4" s="139">
        <v>888</v>
      </c>
      <c r="AH4" s="139">
        <v>933</v>
      </c>
    </row>
    <row r="5" spans="1:34" s="139" customFormat="1" x14ac:dyDescent="0.3"/>
    <row r="6" spans="1:34" s="139" customFormat="1" x14ac:dyDescent="0.3">
      <c r="B6" s="139" t="s">
        <v>394</v>
      </c>
      <c r="C6" s="139" t="s">
        <v>395</v>
      </c>
      <c r="E6" s="139">
        <v>1.637032495401594</v>
      </c>
      <c r="F6" s="139">
        <v>1.6570631970260223</v>
      </c>
      <c r="G6" s="139">
        <v>1.6420664206642066</v>
      </c>
      <c r="H6" s="139">
        <v>1.7348927875243665</v>
      </c>
      <c r="I6" s="139">
        <v>1.6689612015018773</v>
      </c>
      <c r="J6" s="139">
        <v>2.2102649006622515</v>
      </c>
      <c r="K6" s="139">
        <v>1.6471962616822431</v>
      </c>
      <c r="L6" s="139">
        <v>1.6481589713617768</v>
      </c>
      <c r="M6" s="139">
        <v>1.6471962616822431</v>
      </c>
      <c r="N6" s="139">
        <v>1.569848661233993</v>
      </c>
      <c r="O6" s="139">
        <v>1.5533869115958667</v>
      </c>
      <c r="P6" s="139">
        <v>1.5846063454759107</v>
      </c>
      <c r="Q6" s="139">
        <v>1.0850340136054422</v>
      </c>
      <c r="R6" s="139">
        <v>1.1502958579881657</v>
      </c>
      <c r="S6" s="139">
        <v>1.2461005199306758</v>
      </c>
      <c r="T6" s="139">
        <v>1.6469120399251405</v>
      </c>
      <c r="U6" s="139">
        <v>1.6674984404242046</v>
      </c>
      <c r="V6" s="139">
        <v>1.6281971303805365</v>
      </c>
      <c r="W6" s="139">
        <v>0.9769658459094519</v>
      </c>
      <c r="X6" s="139">
        <v>0.9895666131621188</v>
      </c>
      <c r="Y6" s="139">
        <v>0.99514563106796117</v>
      </c>
      <c r="Z6" s="139">
        <v>1.639877300613497</v>
      </c>
      <c r="AA6" s="139">
        <v>1.6288848263254114</v>
      </c>
      <c r="AB6" s="139">
        <v>1.6439114391143912</v>
      </c>
      <c r="AC6" s="139">
        <v>1.6271757439640651</v>
      </c>
      <c r="AD6" s="139">
        <v>1.7481884057971016</v>
      </c>
      <c r="AE6" s="139">
        <v>1.5325895478567235</v>
      </c>
      <c r="AF6" s="139">
        <v>1.4745465184318314</v>
      </c>
      <c r="AG6" s="139">
        <v>1.5698992443324937</v>
      </c>
      <c r="AH6" s="139">
        <v>1.4380453752181501</v>
      </c>
    </row>
    <row r="7" spans="1:34" s="139" customFormat="1" x14ac:dyDescent="0.3">
      <c r="B7" s="139" t="s">
        <v>396</v>
      </c>
      <c r="C7" s="139" t="s">
        <v>397</v>
      </c>
      <c r="E7" s="139">
        <v>1.5659824046920821</v>
      </c>
      <c r="F7" s="139">
        <v>1.5361860999425618</v>
      </c>
      <c r="G7" s="139">
        <v>1.5845697329376855</v>
      </c>
      <c r="H7" s="139">
        <v>1.5892857142857142</v>
      </c>
      <c r="I7" s="139">
        <v>1.5884455032757594</v>
      </c>
      <c r="J7" s="139">
        <v>1.5514235909355025</v>
      </c>
      <c r="K7" s="139">
        <v>1.6086708499714775</v>
      </c>
      <c r="L7" s="139">
        <v>1.6086708499714775</v>
      </c>
      <c r="M7" s="139">
        <v>1.6114285714285714</v>
      </c>
      <c r="N7" s="139">
        <v>1.4983333333333333</v>
      </c>
      <c r="O7" s="139">
        <v>1.4803063457330417</v>
      </c>
      <c r="P7" s="139">
        <v>1.5185810810810811</v>
      </c>
      <c r="Q7" s="139">
        <v>1.0844192634560907</v>
      </c>
      <c r="R7" s="139">
        <v>1.2639791937581275</v>
      </c>
      <c r="S7" s="139">
        <v>1.2297605473204105</v>
      </c>
      <c r="T7" s="139">
        <v>1.6029143897996356</v>
      </c>
      <c r="U7" s="139">
        <v>1.6209824135839903</v>
      </c>
      <c r="V7" s="139">
        <v>1.5837378640776698</v>
      </c>
      <c r="W7" s="139">
        <v>0.97233201581027673</v>
      </c>
      <c r="X7" s="139">
        <v>0.96403440187646594</v>
      </c>
      <c r="Y7" s="139">
        <v>0.97541633624107849</v>
      </c>
      <c r="Z7" s="139">
        <v>1.5415224913494809</v>
      </c>
      <c r="AA7" s="139">
        <v>1.5424120023081362</v>
      </c>
      <c r="AB7" s="139">
        <v>1.5353245261344055</v>
      </c>
      <c r="AC7" s="139">
        <v>1.6335963923337091</v>
      </c>
      <c r="AD7" s="139">
        <v>1.7029411764705882</v>
      </c>
      <c r="AE7" s="139">
        <v>1.4671163575042159</v>
      </c>
      <c r="AF7" s="139">
        <v>1.3740458015267176</v>
      </c>
      <c r="AG7" s="139">
        <v>1.4037162162162162</v>
      </c>
      <c r="AH7" s="139">
        <v>1.32475884244373</v>
      </c>
    </row>
    <row r="8" spans="1:34" s="139" customFormat="1" x14ac:dyDescent="0.3">
      <c r="B8" s="139" t="s">
        <v>101</v>
      </c>
      <c r="C8" s="139" t="s">
        <v>398</v>
      </c>
      <c r="E8" s="139">
        <v>0.95659824046920827</v>
      </c>
      <c r="F8" s="139">
        <v>0.92705341757610571</v>
      </c>
      <c r="G8" s="139">
        <v>0.96498516320474781</v>
      </c>
      <c r="H8" s="139">
        <v>0.91607142857142854</v>
      </c>
      <c r="I8" s="139">
        <v>0.95175699821322213</v>
      </c>
      <c r="J8" s="139">
        <v>0.87623474723997674</v>
      </c>
      <c r="K8" s="139">
        <v>0.9766115231032515</v>
      </c>
      <c r="L8" s="139">
        <v>0.97604107244723326</v>
      </c>
      <c r="M8" s="139">
        <v>0.9782857142857142</v>
      </c>
      <c r="N8" s="139">
        <v>0.95444444444444443</v>
      </c>
      <c r="O8" s="139">
        <v>0.95295404814004392</v>
      </c>
      <c r="P8" s="139">
        <v>0.95833333333333337</v>
      </c>
      <c r="Q8" s="139">
        <v>0.99943342776203981</v>
      </c>
      <c r="R8" s="139">
        <v>1.0988296488946685</v>
      </c>
      <c r="S8" s="139">
        <v>0.98688711516533645</v>
      </c>
      <c r="T8" s="139">
        <v>0.97328476017000598</v>
      </c>
      <c r="U8" s="139">
        <v>0.97210430563978167</v>
      </c>
      <c r="V8" s="139">
        <v>0.97269417475728148</v>
      </c>
      <c r="W8" s="139">
        <v>0.99525691699604757</v>
      </c>
      <c r="X8" s="139">
        <v>0.97419859265050812</v>
      </c>
      <c r="Y8" s="139">
        <v>0.98017446471054714</v>
      </c>
      <c r="Z8" s="139">
        <v>0.94002306805074964</v>
      </c>
      <c r="AA8" s="139">
        <v>0.9469128678592037</v>
      </c>
      <c r="AB8" s="139">
        <v>0.93394600804135552</v>
      </c>
      <c r="AC8" s="139">
        <v>1.0039458850056371</v>
      </c>
      <c r="AD8" s="139">
        <v>0.97411764705882342</v>
      </c>
      <c r="AE8" s="139">
        <v>0.9572793704328274</v>
      </c>
      <c r="AF8" s="139">
        <v>0.93184296619411133</v>
      </c>
      <c r="AG8" s="139">
        <v>0.89414414414414412</v>
      </c>
      <c r="AH8" s="139">
        <v>0.9212218649517685</v>
      </c>
    </row>
    <row r="9" spans="1:34" s="139" customFormat="1" x14ac:dyDescent="0.3"/>
    <row r="10" spans="1:34" s="139" customFormat="1" x14ac:dyDescent="0.3">
      <c r="B10" s="139" t="s">
        <v>399</v>
      </c>
      <c r="C10" s="139" t="s">
        <v>155</v>
      </c>
      <c r="E10" s="139">
        <v>0.81828703703703709</v>
      </c>
      <c r="F10" s="139">
        <v>0.83048919226393625</v>
      </c>
      <c r="G10" s="139">
        <v>0.80046403712296987</v>
      </c>
      <c r="H10" s="139">
        <v>0.84216867469879519</v>
      </c>
      <c r="I10" s="139">
        <v>0.80813953488372092</v>
      </c>
      <c r="J10" s="139">
        <v>0.80946745562130173</v>
      </c>
      <c r="K10" s="139">
        <v>0.8362168396770473</v>
      </c>
      <c r="L10" s="139">
        <v>0.83852364475201846</v>
      </c>
      <c r="M10" s="139">
        <v>0.83391003460207613</v>
      </c>
      <c r="N10" s="139">
        <v>0.78397212543554007</v>
      </c>
      <c r="O10" s="139">
        <v>0.79746835443037978</v>
      </c>
      <c r="P10" s="139">
        <v>0.80071599045346065</v>
      </c>
      <c r="Q10" s="139">
        <v>0.88470066518847001</v>
      </c>
      <c r="R10" s="139">
        <v>0.92042755344418048</v>
      </c>
      <c r="S10" s="139">
        <v>0.88479262672811065</v>
      </c>
      <c r="T10" s="139">
        <v>0.88471502590673579</v>
      </c>
      <c r="U10" s="139">
        <v>0.88471502590673579</v>
      </c>
      <c r="V10" s="139">
        <v>0.98575129533678751</v>
      </c>
      <c r="W10" s="139">
        <v>1.1289640591966172</v>
      </c>
      <c r="X10" s="139">
        <v>1.0816326530612246</v>
      </c>
      <c r="Y10" s="139">
        <v>1.1120507399577166</v>
      </c>
      <c r="Z10" s="139">
        <v>0.83680555555555558</v>
      </c>
      <c r="AA10" s="139">
        <v>0.83449883449883455</v>
      </c>
      <c r="AB10" s="139">
        <v>0.80092592592592593</v>
      </c>
      <c r="AC10" s="139">
        <v>0.92126909518213862</v>
      </c>
      <c r="AD10" s="139">
        <v>0.92151898734177218</v>
      </c>
      <c r="AE10" s="139">
        <v>0.82446206115515286</v>
      </c>
      <c r="AF10" s="139">
        <v>0.80896478121664883</v>
      </c>
      <c r="AG10" s="139">
        <v>0.84101941747572817</v>
      </c>
      <c r="AH10" s="139">
        <v>0.8482142857142857</v>
      </c>
    </row>
    <row r="11" spans="1:34" s="139" customFormat="1" x14ac:dyDescent="0.3">
      <c r="B11" s="139" t="s">
        <v>400</v>
      </c>
      <c r="C11" s="139" t="s">
        <v>401</v>
      </c>
      <c r="E11" s="139">
        <v>1.0411280846063455</v>
      </c>
      <c r="F11" s="139">
        <v>1.036046511627907</v>
      </c>
      <c r="G11" s="139">
        <v>1.0694610778443114</v>
      </c>
      <c r="H11" s="139">
        <v>1.0361726954492416</v>
      </c>
      <c r="I11" s="139">
        <v>1.066746126340882</v>
      </c>
      <c r="J11" s="139">
        <v>1.0378698224852072</v>
      </c>
      <c r="K11" s="139">
        <v>1.0751708428246014</v>
      </c>
      <c r="L11" s="139">
        <v>1.0797266514806378</v>
      </c>
      <c r="M11" s="139">
        <v>1.0650684931506849</v>
      </c>
      <c r="N11" s="139">
        <v>1.0089585666293392</v>
      </c>
      <c r="O11" s="139">
        <v>1.0033112582781456</v>
      </c>
      <c r="P11" s="139">
        <v>1.0113378684807257</v>
      </c>
      <c r="Q11" s="139">
        <v>0.98216276477146047</v>
      </c>
      <c r="R11" s="139">
        <v>1.1309523809523809</v>
      </c>
      <c r="S11" s="139">
        <v>0.99435665914221216</v>
      </c>
      <c r="T11" s="139">
        <v>1.0826245443499392</v>
      </c>
      <c r="U11" s="139">
        <v>1.0825242718446602</v>
      </c>
      <c r="V11" s="139">
        <v>1.0813106796116505</v>
      </c>
      <c r="W11" s="139">
        <v>1.1267605633802817</v>
      </c>
      <c r="X11" s="139">
        <v>1.1255813953488372</v>
      </c>
      <c r="Y11" s="139">
        <v>1.1267605633802817</v>
      </c>
      <c r="Z11" s="139">
        <v>1.0359212050984936</v>
      </c>
      <c r="AA11" s="139">
        <v>1.0312138728323699</v>
      </c>
      <c r="AB11" s="139">
        <v>1.0286368843069873</v>
      </c>
      <c r="AC11" s="139">
        <v>1.0721533258173619</v>
      </c>
      <c r="AD11" s="139">
        <v>1.108235294117647</v>
      </c>
      <c r="AE11" s="139">
        <v>1.0449438202247192</v>
      </c>
      <c r="AF11" s="139">
        <v>1.0662251655629138</v>
      </c>
    </row>
    <row r="13" spans="1:34" x14ac:dyDescent="0.3">
      <c r="B13" s="49" t="s">
        <v>402</v>
      </c>
    </row>
    <row r="14" spans="1:34" x14ac:dyDescent="0.3">
      <c r="B14" s="135" t="s">
        <v>403</v>
      </c>
    </row>
    <row r="15" spans="1:34" x14ac:dyDescent="0.3">
      <c r="B15" s="375" t="s">
        <v>406</v>
      </c>
      <c r="C15" s="375"/>
      <c r="D15" s="375"/>
    </row>
    <row r="16" spans="1:34" x14ac:dyDescent="0.3">
      <c r="B16" s="372" t="s">
        <v>407</v>
      </c>
      <c r="C16" s="372"/>
      <c r="D16" s="372"/>
    </row>
    <row r="17" spans="2:34" x14ac:dyDescent="0.3">
      <c r="B17" s="372" t="s">
        <v>408</v>
      </c>
      <c r="C17" s="372"/>
      <c r="D17" s="372"/>
    </row>
    <row r="18" spans="2:34" x14ac:dyDescent="0.3">
      <c r="B18" s="373" t="s">
        <v>415</v>
      </c>
      <c r="C18" s="374"/>
      <c r="D18" s="374"/>
      <c r="E18" s="135" t="s">
        <v>413</v>
      </c>
      <c r="F18" s="135" t="s">
        <v>413</v>
      </c>
      <c r="G18" s="135" t="s">
        <v>414</v>
      </c>
      <c r="H18" s="135" t="s">
        <v>413</v>
      </c>
      <c r="I18" s="135" t="s">
        <v>413</v>
      </c>
      <c r="J18" s="135" t="s">
        <v>252</v>
      </c>
      <c r="K18" s="135" t="s">
        <v>414</v>
      </c>
      <c r="L18" s="135" t="s">
        <v>413</v>
      </c>
      <c r="M18" s="135" t="s">
        <v>414</v>
      </c>
      <c r="N18" s="135" t="s">
        <v>414</v>
      </c>
      <c r="O18" s="135" t="s">
        <v>414</v>
      </c>
      <c r="P18" s="135" t="s">
        <v>414</v>
      </c>
      <c r="Q18" s="135" t="s">
        <v>413</v>
      </c>
      <c r="R18" s="135" t="s">
        <v>414</v>
      </c>
      <c r="S18" s="135" t="s">
        <v>413</v>
      </c>
      <c r="T18" s="135" t="s">
        <v>413</v>
      </c>
      <c r="U18" s="135" t="s">
        <v>413</v>
      </c>
      <c r="V18" s="135" t="s">
        <v>414</v>
      </c>
      <c r="W18" s="135" t="s">
        <v>414</v>
      </c>
      <c r="X18" s="135" t="s">
        <v>413</v>
      </c>
      <c r="Y18" s="135" t="s">
        <v>413</v>
      </c>
      <c r="Z18" s="135" t="s">
        <v>413</v>
      </c>
      <c r="AA18" s="135" t="s">
        <v>413</v>
      </c>
      <c r="AB18" s="135" t="s">
        <v>413</v>
      </c>
      <c r="AC18" s="135" t="s">
        <v>413</v>
      </c>
      <c r="AD18" s="135" t="s">
        <v>413</v>
      </c>
      <c r="AE18" s="135" t="s">
        <v>413</v>
      </c>
      <c r="AF18" s="135" t="s">
        <v>413</v>
      </c>
      <c r="AG18" s="135" t="s">
        <v>413</v>
      </c>
      <c r="AH18" s="135" t="s">
        <v>413</v>
      </c>
    </row>
    <row r="19" spans="2:34" ht="29.25" customHeight="1" x14ac:dyDescent="0.3">
      <c r="B19" s="376" t="s">
        <v>409</v>
      </c>
      <c r="C19" s="375"/>
      <c r="D19" s="375"/>
    </row>
    <row r="20" spans="2:34" ht="25.5" customHeight="1" x14ac:dyDescent="0.3">
      <c r="B20" s="371" t="s">
        <v>410</v>
      </c>
      <c r="C20" s="371"/>
      <c r="D20" s="371"/>
    </row>
    <row r="21" spans="2:34" ht="27" customHeight="1" x14ac:dyDescent="0.3">
      <c r="B21" s="371" t="s">
        <v>411</v>
      </c>
      <c r="C21" s="372"/>
      <c r="D21" s="372"/>
    </row>
  </sheetData>
  <mergeCells count="7">
    <mergeCell ref="B21:D21"/>
    <mergeCell ref="B18:D18"/>
    <mergeCell ref="B15:D15"/>
    <mergeCell ref="B16:D16"/>
    <mergeCell ref="B17:D17"/>
    <mergeCell ref="B19:D19"/>
    <mergeCell ref="B20:D20"/>
  </mergeCells>
  <phoneticPr fontId="1"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65"/>
  <sheetViews>
    <sheetView topLeftCell="B1" workbookViewId="0">
      <pane ySplit="1" topLeftCell="A56" activePane="bottomLeft" state="frozen"/>
      <selection pane="bottomLeft" activeCell="N66" sqref="N66"/>
    </sheetView>
  </sheetViews>
  <sheetFormatPr defaultRowHeight="12" x14ac:dyDescent="0.3"/>
  <cols>
    <col min="1" max="1" width="2.375" style="135" bestFit="1" customWidth="1"/>
    <col min="2" max="4" width="9" style="135"/>
    <col min="5" max="5" width="5.875" style="141" bestFit="1" customWidth="1"/>
    <col min="6" max="7" width="5.875" style="135" bestFit="1" customWidth="1"/>
    <col min="8" max="8" width="5.875" style="141" bestFit="1" customWidth="1"/>
    <col min="9" max="10" width="5.875" style="135" bestFit="1" customWidth="1"/>
    <col min="11" max="11" width="5.875" style="141" bestFit="1" customWidth="1"/>
    <col min="12" max="13" width="5.875" style="135" bestFit="1" customWidth="1"/>
    <col min="14" max="14" width="6.375" style="141" customWidth="1"/>
    <col min="15" max="15" width="5" style="135" customWidth="1"/>
    <col min="16" max="16" width="5.625" style="135" customWidth="1"/>
    <col min="17" max="17" width="5.875" style="141" bestFit="1" customWidth="1"/>
    <col min="18" max="19" width="5.875" style="135" bestFit="1" customWidth="1"/>
    <col min="20" max="20" width="7.375" style="141" bestFit="1" customWidth="1"/>
    <col min="21" max="21" width="6.875" style="135" bestFit="1" customWidth="1"/>
    <col min="22" max="22" width="6.75" style="135" bestFit="1" customWidth="1"/>
    <col min="23" max="23" width="5.875" style="141" bestFit="1" customWidth="1"/>
    <col min="24" max="25" width="5.875" style="135" bestFit="1" customWidth="1"/>
    <col min="26" max="26" width="5.875" style="141" bestFit="1" customWidth="1"/>
    <col min="27" max="28" width="5.875" style="135" bestFit="1" customWidth="1"/>
    <col min="29" max="29" width="7.875" style="141" bestFit="1" customWidth="1"/>
    <col min="30" max="30" width="7.25" style="135" bestFit="1" customWidth="1"/>
    <col min="31" max="31" width="6.5" style="141" bestFit="1" customWidth="1"/>
    <col min="32" max="32" width="6.5" style="135" bestFit="1" customWidth="1"/>
    <col min="33" max="33" width="6.5" style="141" bestFit="1" customWidth="1"/>
    <col min="34" max="34" width="6.5" style="135" bestFit="1" customWidth="1"/>
    <col min="35" max="16384" width="9" style="135"/>
  </cols>
  <sheetData>
    <row r="1" spans="1:34" s="127" customFormat="1" ht="54" customHeight="1" x14ac:dyDescent="0.3">
      <c r="E1" s="140" t="s">
        <v>416</v>
      </c>
      <c r="F1" s="128" t="s">
        <v>187</v>
      </c>
      <c r="G1" s="128" t="s">
        <v>188</v>
      </c>
      <c r="H1" s="140" t="s">
        <v>417</v>
      </c>
      <c r="I1" s="128" t="s">
        <v>194</v>
      </c>
      <c r="J1" s="128" t="s">
        <v>195</v>
      </c>
      <c r="K1" s="129" t="s">
        <v>202</v>
      </c>
      <c r="L1" s="130" t="s">
        <v>200</v>
      </c>
      <c r="M1" s="131" t="s">
        <v>201</v>
      </c>
      <c r="N1" s="129" t="s">
        <v>203</v>
      </c>
      <c r="O1" s="130" t="s">
        <v>204</v>
      </c>
      <c r="P1" s="131" t="s">
        <v>205</v>
      </c>
      <c r="Q1" s="144" t="s">
        <v>217</v>
      </c>
      <c r="R1" s="131" t="s">
        <v>218</v>
      </c>
      <c r="S1" s="131" t="s">
        <v>219</v>
      </c>
      <c r="T1" s="144" t="s">
        <v>220</v>
      </c>
      <c r="U1" s="131" t="s">
        <v>221</v>
      </c>
      <c r="V1" s="131" t="s">
        <v>222</v>
      </c>
      <c r="W1" s="144" t="s">
        <v>443</v>
      </c>
      <c r="X1" s="131" t="s">
        <v>444</v>
      </c>
      <c r="Y1" s="131" t="s">
        <v>445</v>
      </c>
      <c r="Z1" s="145" t="s">
        <v>231</v>
      </c>
      <c r="AA1" s="134" t="s">
        <v>230</v>
      </c>
      <c r="AB1" s="134" t="s">
        <v>229</v>
      </c>
      <c r="AC1" s="145" t="s">
        <v>228</v>
      </c>
      <c r="AD1" s="134" t="s">
        <v>227</v>
      </c>
      <c r="AE1" s="144" t="s">
        <v>225</v>
      </c>
      <c r="AF1" s="134" t="s">
        <v>226</v>
      </c>
      <c r="AG1" s="144" t="s">
        <v>247</v>
      </c>
      <c r="AH1" s="131" t="s">
        <v>248</v>
      </c>
    </row>
    <row r="2" spans="1:34" x14ac:dyDescent="0.3">
      <c r="A2" s="142">
        <v>5</v>
      </c>
      <c r="B2" s="142" t="s">
        <v>418</v>
      </c>
    </row>
    <row r="3" spans="1:34" s="139" customFormat="1" x14ac:dyDescent="0.3">
      <c r="B3" s="139" t="s">
        <v>106</v>
      </c>
      <c r="C3" s="139" t="s">
        <v>107</v>
      </c>
      <c r="E3" s="143">
        <v>0.5</v>
      </c>
      <c r="F3" s="139">
        <v>0.46296296296296297</v>
      </c>
      <c r="G3" s="139">
        <v>0.49203821656050956</v>
      </c>
      <c r="H3" s="143">
        <v>0.90909090909090906</v>
      </c>
      <c r="I3" s="139">
        <v>0.87068965517241381</v>
      </c>
      <c r="J3" s="139">
        <v>0.91176470588235292</v>
      </c>
      <c r="K3" s="143">
        <v>0.84615384615384615</v>
      </c>
      <c r="L3" s="139">
        <v>0.87272727272727268</v>
      </c>
      <c r="M3" s="139">
        <v>0.76923076923076927</v>
      </c>
      <c r="N3" s="143">
        <v>0.71590909090909094</v>
      </c>
      <c r="O3" s="139">
        <v>0.6785714285714286</v>
      </c>
      <c r="P3" s="139">
        <v>0.62790697674418605</v>
      </c>
      <c r="Q3" s="143">
        <v>0.5</v>
      </c>
      <c r="R3" s="139">
        <v>0.53968253968253965</v>
      </c>
      <c r="S3" s="139">
        <v>0.39393939393939392</v>
      </c>
      <c r="T3" s="143">
        <v>0.82499999999999996</v>
      </c>
      <c r="U3" s="139">
        <v>0.79166666666666663</v>
      </c>
      <c r="V3" s="139">
        <v>0.75714285714285712</v>
      </c>
      <c r="W3" s="143">
        <v>0.61538461538461542</v>
      </c>
      <c r="X3" s="139">
        <v>0.69565217391304346</v>
      </c>
      <c r="Y3" s="139">
        <v>0.4838709677419355</v>
      </c>
      <c r="Z3" s="143">
        <v>0.51948051948051943</v>
      </c>
      <c r="AA3" s="139">
        <v>0.62365591397849462</v>
      </c>
      <c r="AB3" s="139">
        <v>0.43076923076923079</v>
      </c>
      <c r="AC3" s="143">
        <v>0.83750000000000002</v>
      </c>
      <c r="AD3" s="139">
        <v>0.7192982456140351</v>
      </c>
      <c r="AE3" s="143">
        <v>0.41379310344827586</v>
      </c>
      <c r="AF3" s="139">
        <v>0.48148148148148145</v>
      </c>
      <c r="AG3" s="143">
        <v>0.87096774193548387</v>
      </c>
      <c r="AH3" s="139">
        <v>0.80232558139534882</v>
      </c>
    </row>
    <row r="4" spans="1:34" s="139" customFormat="1" x14ac:dyDescent="0.3">
      <c r="E4" s="143"/>
      <c r="H4" s="143"/>
      <c r="K4" s="143"/>
      <c r="N4" s="143"/>
      <c r="Q4" s="143"/>
      <c r="T4" s="143"/>
      <c r="W4" s="143"/>
      <c r="Z4" s="143"/>
      <c r="AC4" s="143"/>
      <c r="AE4" s="143"/>
      <c r="AG4" s="143"/>
    </row>
    <row r="5" spans="1:34" s="139" customFormat="1" x14ac:dyDescent="0.3">
      <c r="B5" s="49" t="s">
        <v>402</v>
      </c>
      <c r="C5" s="135"/>
      <c r="D5" s="135"/>
      <c r="E5" s="143"/>
      <c r="H5" s="143"/>
      <c r="K5" s="143"/>
      <c r="N5" s="143"/>
      <c r="Q5" s="143"/>
      <c r="T5" s="143"/>
      <c r="W5" s="143"/>
      <c r="Z5" s="143"/>
      <c r="AC5" s="143"/>
      <c r="AE5" s="143"/>
      <c r="AG5" s="143"/>
    </row>
    <row r="6" spans="1:34" s="139" customFormat="1" x14ac:dyDescent="0.3">
      <c r="B6" s="135" t="s">
        <v>403</v>
      </c>
      <c r="C6" s="135"/>
      <c r="D6" s="135"/>
      <c r="E6" s="143"/>
      <c r="H6" s="143"/>
      <c r="K6" s="143"/>
      <c r="N6" s="143"/>
      <c r="Q6" s="143"/>
      <c r="T6" s="143"/>
      <c r="W6" s="143"/>
      <c r="Z6" s="143"/>
      <c r="AC6" s="143"/>
      <c r="AE6" s="143"/>
      <c r="AG6" s="143"/>
    </row>
    <row r="7" spans="1:34" s="139" customFormat="1" x14ac:dyDescent="0.3">
      <c r="B7" s="375" t="s">
        <v>424</v>
      </c>
      <c r="C7" s="375"/>
      <c r="D7" s="375"/>
      <c r="E7" s="143"/>
      <c r="H7" s="143" t="s">
        <v>412</v>
      </c>
      <c r="I7" s="139" t="s">
        <v>412</v>
      </c>
      <c r="J7" s="139" t="s">
        <v>252</v>
      </c>
      <c r="K7" s="143" t="s">
        <v>412</v>
      </c>
      <c r="L7" s="139" t="s">
        <v>412</v>
      </c>
      <c r="M7" s="139" t="s">
        <v>252</v>
      </c>
      <c r="N7" s="143"/>
      <c r="Q7" s="143"/>
      <c r="T7" s="143"/>
      <c r="W7" s="143"/>
      <c r="Z7" s="143"/>
      <c r="AC7" s="143" t="s">
        <v>252</v>
      </c>
      <c r="AD7" s="139" t="s">
        <v>252</v>
      </c>
      <c r="AE7" s="143"/>
      <c r="AG7" s="143"/>
    </row>
    <row r="8" spans="1:34" s="139" customFormat="1" x14ac:dyDescent="0.3">
      <c r="B8" s="377" t="s">
        <v>429</v>
      </c>
      <c r="C8" s="377"/>
      <c r="D8" s="377"/>
      <c r="E8" s="143"/>
      <c r="H8" s="143"/>
      <c r="K8" s="143"/>
      <c r="N8" s="143" t="s">
        <v>412</v>
      </c>
      <c r="O8" s="139" t="s">
        <v>412</v>
      </c>
      <c r="P8" s="139" t="s">
        <v>252</v>
      </c>
      <c r="Q8" s="143"/>
      <c r="T8" s="143" t="s">
        <v>412</v>
      </c>
      <c r="U8" s="139" t="s">
        <v>412</v>
      </c>
      <c r="V8" s="139" t="s">
        <v>252</v>
      </c>
      <c r="W8" s="143"/>
      <c r="Z8" s="143"/>
      <c r="AC8" s="143"/>
      <c r="AE8" s="143"/>
      <c r="AG8" s="143" t="s">
        <v>252</v>
      </c>
      <c r="AH8" s="139" t="s">
        <v>252</v>
      </c>
    </row>
    <row r="9" spans="1:34" s="139" customFormat="1" x14ac:dyDescent="0.3">
      <c r="B9" s="372" t="s">
        <v>431</v>
      </c>
      <c r="C9" s="372"/>
      <c r="D9" s="372"/>
      <c r="E9" s="143"/>
      <c r="H9" s="143"/>
      <c r="K9" s="143"/>
      <c r="N9" s="143"/>
      <c r="Q9" s="143"/>
      <c r="T9" s="143"/>
      <c r="W9" s="143"/>
      <c r="Z9" s="143"/>
      <c r="AC9" s="143"/>
      <c r="AE9" s="143"/>
      <c r="AG9" s="143"/>
    </row>
    <row r="10" spans="1:34" s="139" customFormat="1" x14ac:dyDescent="0.3">
      <c r="B10" s="372" t="s">
        <v>425</v>
      </c>
      <c r="C10" s="372"/>
      <c r="D10" s="372"/>
      <c r="E10" s="143"/>
      <c r="H10" s="143"/>
      <c r="K10" s="143"/>
      <c r="N10" s="143"/>
      <c r="Q10" s="143"/>
      <c r="T10" s="143"/>
      <c r="W10" s="143"/>
      <c r="Z10" s="143"/>
      <c r="AC10" s="143"/>
      <c r="AE10" s="143"/>
      <c r="AG10" s="143"/>
    </row>
    <row r="11" spans="1:34" s="139" customFormat="1" x14ac:dyDescent="0.3">
      <c r="B11" s="373" t="s">
        <v>430</v>
      </c>
      <c r="C11" s="374"/>
      <c r="D11" s="374"/>
      <c r="E11" s="143" t="s">
        <v>412</v>
      </c>
      <c r="F11" s="139" t="s">
        <v>412</v>
      </c>
      <c r="G11" s="139" t="s">
        <v>252</v>
      </c>
      <c r="H11" s="143"/>
      <c r="K11" s="143"/>
      <c r="N11" s="143"/>
      <c r="Q11" s="143" t="s">
        <v>412</v>
      </c>
      <c r="R11" s="139" t="s">
        <v>412</v>
      </c>
      <c r="S11" s="139" t="s">
        <v>252</v>
      </c>
      <c r="T11" s="143"/>
      <c r="W11" s="143" t="s">
        <v>412</v>
      </c>
      <c r="X11" s="139" t="s">
        <v>412</v>
      </c>
      <c r="Y11" s="139" t="s">
        <v>252</v>
      </c>
      <c r="Z11" s="143" t="s">
        <v>412</v>
      </c>
      <c r="AA11" s="139" t="s">
        <v>412</v>
      </c>
      <c r="AB11" s="139" t="s">
        <v>252</v>
      </c>
      <c r="AC11" s="143"/>
      <c r="AE11" s="143" t="s">
        <v>412</v>
      </c>
      <c r="AF11" s="139" t="s">
        <v>412</v>
      </c>
      <c r="AG11" s="143"/>
    </row>
    <row r="12" spans="1:34" s="139" customFormat="1" x14ac:dyDescent="0.3">
      <c r="B12" s="376" t="s">
        <v>426</v>
      </c>
      <c r="C12" s="375"/>
      <c r="D12" s="375"/>
      <c r="E12" s="143"/>
      <c r="H12" s="143"/>
      <c r="K12" s="143"/>
      <c r="N12" s="143"/>
      <c r="Q12" s="143"/>
      <c r="T12" s="143"/>
      <c r="W12" s="143"/>
      <c r="Z12" s="143"/>
      <c r="AC12" s="143"/>
      <c r="AE12" s="143"/>
      <c r="AG12" s="143"/>
    </row>
    <row r="13" spans="1:34" s="139" customFormat="1" x14ac:dyDescent="0.3">
      <c r="B13" s="371" t="s">
        <v>427</v>
      </c>
      <c r="C13" s="371"/>
      <c r="D13" s="371"/>
      <c r="E13" s="143"/>
      <c r="H13" s="143"/>
      <c r="K13" s="143"/>
      <c r="N13" s="143"/>
      <c r="Q13" s="143"/>
      <c r="T13" s="143"/>
      <c r="W13" s="143"/>
      <c r="Z13" s="143"/>
      <c r="AC13" s="143"/>
      <c r="AE13" s="143"/>
      <c r="AG13" s="143"/>
    </row>
    <row r="14" spans="1:34" s="139" customFormat="1" x14ac:dyDescent="0.3">
      <c r="B14" s="371" t="s">
        <v>428</v>
      </c>
      <c r="C14" s="372"/>
      <c r="D14" s="372"/>
      <c r="E14" s="143"/>
      <c r="H14" s="143"/>
      <c r="K14" s="143"/>
      <c r="N14" s="143"/>
      <c r="Q14" s="143"/>
      <c r="T14" s="143"/>
      <c r="W14" s="143"/>
      <c r="Z14" s="143"/>
      <c r="AC14" s="143"/>
      <c r="AE14" s="143"/>
      <c r="AG14" s="143"/>
    </row>
    <row r="15" spans="1:34" s="139" customFormat="1" x14ac:dyDescent="0.3">
      <c r="E15" s="143"/>
      <c r="H15" s="143"/>
      <c r="K15" s="143"/>
      <c r="N15" s="143"/>
      <c r="Q15" s="143"/>
      <c r="T15" s="143"/>
      <c r="W15" s="143"/>
      <c r="Z15" s="143"/>
      <c r="AC15" s="143"/>
      <c r="AE15" s="143"/>
      <c r="AG15" s="143"/>
    </row>
    <row r="16" spans="1:34" s="139" customFormat="1" x14ac:dyDescent="0.3">
      <c r="E16" s="143"/>
      <c r="H16" s="143"/>
      <c r="K16" s="143"/>
      <c r="N16" s="143"/>
      <c r="Q16" s="143"/>
      <c r="T16" s="143"/>
      <c r="W16" s="143"/>
      <c r="Z16" s="143"/>
      <c r="AC16" s="143"/>
      <c r="AE16" s="143"/>
      <c r="AG16" s="143"/>
    </row>
    <row r="17" spans="1:34" x14ac:dyDescent="0.3">
      <c r="A17" s="142">
        <v>6</v>
      </c>
      <c r="B17" s="142" t="s">
        <v>419</v>
      </c>
    </row>
    <row r="18" spans="1:34" s="139" customFormat="1" x14ac:dyDescent="0.3">
      <c r="B18" s="139" t="s">
        <v>109</v>
      </c>
      <c r="C18" s="139" t="s">
        <v>110</v>
      </c>
      <c r="E18" s="143">
        <v>0.83274647887323938</v>
      </c>
      <c r="F18" s="139">
        <v>1.399092970521542</v>
      </c>
      <c r="G18" s="139">
        <v>0.8151408450704225</v>
      </c>
      <c r="H18" s="143">
        <v>0.73570324574961365</v>
      </c>
      <c r="I18" s="139">
        <v>0.74188562596599694</v>
      </c>
      <c r="J18" s="139">
        <v>0.73570324574961365</v>
      </c>
      <c r="K18" s="143">
        <v>0.66956521739130437</v>
      </c>
      <c r="L18" s="139">
        <v>0.66427546628407463</v>
      </c>
      <c r="M18" s="139">
        <v>0.67540029112081512</v>
      </c>
      <c r="N18" s="143">
        <v>1.2922077922077921</v>
      </c>
      <c r="O18" s="139">
        <v>0.77666666666666662</v>
      </c>
      <c r="P18" s="139">
        <v>0.77721943048576214</v>
      </c>
      <c r="Q18" s="143">
        <v>0.77157360406091369</v>
      </c>
      <c r="R18" s="139">
        <v>0.82910321489001693</v>
      </c>
      <c r="S18" s="139">
        <v>0.94230769230769229</v>
      </c>
      <c r="T18" s="143">
        <v>0.7260504201680672</v>
      </c>
      <c r="U18" s="139">
        <v>0.75966386554621845</v>
      </c>
      <c r="V18" s="139">
        <v>0.73043478260869565</v>
      </c>
      <c r="W18" s="143">
        <v>1.5607476635514019</v>
      </c>
      <c r="X18" s="139">
        <v>0.80769230769230771</v>
      </c>
      <c r="Y18" s="139">
        <v>0.78384798099762465</v>
      </c>
      <c r="Z18" s="143">
        <v>0.81749049429657794</v>
      </c>
      <c r="AA18" s="139">
        <v>0.80916030534351147</v>
      </c>
      <c r="AB18" s="139">
        <v>0.80681818181818177</v>
      </c>
      <c r="AC18" s="143">
        <v>0.71844660194174759</v>
      </c>
      <c r="AD18" s="139">
        <v>0.73553719008264462</v>
      </c>
      <c r="AE18" s="143">
        <v>0.84799999999999998</v>
      </c>
      <c r="AF18" s="139">
        <v>0.86583184257602863</v>
      </c>
      <c r="AG18" s="143">
        <v>0.79566982408660347</v>
      </c>
      <c r="AH18" s="139">
        <v>0.86892488954344627</v>
      </c>
    </row>
    <row r="19" spans="1:34" s="139" customFormat="1" x14ac:dyDescent="0.3">
      <c r="B19" s="139" t="s">
        <v>420</v>
      </c>
      <c r="C19" s="139" t="s">
        <v>421</v>
      </c>
      <c r="E19" s="143">
        <v>0.72010869565217395</v>
      </c>
      <c r="F19" s="139">
        <v>0.71714285714285719</v>
      </c>
      <c r="G19" s="139">
        <v>0.72750000000000004</v>
      </c>
      <c r="H19" s="143">
        <v>0.77519379844961245</v>
      </c>
      <c r="I19" s="139">
        <v>0.75379939209726443</v>
      </c>
      <c r="J19" s="139">
        <v>0.77272727272727271</v>
      </c>
      <c r="K19" s="143">
        <v>0.70833333333333337</v>
      </c>
      <c r="L19" s="139">
        <v>0.70231213872832365</v>
      </c>
      <c r="M19" s="139">
        <v>0.71287128712871284</v>
      </c>
      <c r="N19" s="143">
        <v>0.79878048780487809</v>
      </c>
      <c r="O19" s="139">
        <v>0.77027027027027029</v>
      </c>
      <c r="P19" s="139">
        <v>0.83236994219653182</v>
      </c>
      <c r="Q19" s="143">
        <v>1.3398294762484775</v>
      </c>
      <c r="R19" s="139">
        <v>1.1824324324324325</v>
      </c>
      <c r="S19" s="139">
        <v>1.25</v>
      </c>
      <c r="T19" s="143">
        <v>0.98666666666666669</v>
      </c>
      <c r="U19" s="139">
        <v>0.99310344827586206</v>
      </c>
      <c r="V19" s="139">
        <v>0.71461716937354991</v>
      </c>
      <c r="W19" s="143">
        <v>0.85882352941176465</v>
      </c>
      <c r="X19" s="139">
        <v>0.64893617021276595</v>
      </c>
      <c r="Y19" s="139">
        <v>0.62773722627737227</v>
      </c>
      <c r="Z19" s="143">
        <v>0.95302013422818788</v>
      </c>
      <c r="AA19" s="139">
        <v>0.71511627906976749</v>
      </c>
      <c r="AB19" s="139">
        <v>0.74816625916870416</v>
      </c>
      <c r="AC19" s="143">
        <v>0.72670807453416153</v>
      </c>
      <c r="AD19" s="139">
        <v>0.71111111111111114</v>
      </c>
      <c r="AE19" s="143">
        <v>1.0536130536130537</v>
      </c>
      <c r="AF19" s="139">
        <v>0.98989898989898994</v>
      </c>
      <c r="AG19" s="143">
        <v>0.81481481481481477</v>
      </c>
      <c r="AH19" s="139">
        <v>0.9</v>
      </c>
    </row>
    <row r="20" spans="1:34" s="139" customFormat="1" x14ac:dyDescent="0.3">
      <c r="B20" s="139" t="s">
        <v>422</v>
      </c>
      <c r="C20" s="139" t="s">
        <v>423</v>
      </c>
      <c r="E20" s="143">
        <v>1.1564177517937815</v>
      </c>
      <c r="F20" s="139">
        <v>1.9509264529184847</v>
      </c>
      <c r="G20" s="139">
        <v>1.1204685155607181</v>
      </c>
      <c r="H20" s="143">
        <v>0.94905718701700159</v>
      </c>
      <c r="I20" s="139">
        <v>0.98419504412424597</v>
      </c>
      <c r="J20" s="139">
        <v>0.95208655332302949</v>
      </c>
      <c r="K20" s="143">
        <v>0.94526854219948842</v>
      </c>
      <c r="L20" s="139">
        <v>0.94584078738390875</v>
      </c>
      <c r="M20" s="139">
        <v>0.94743651948892127</v>
      </c>
      <c r="N20" s="143">
        <v>1.6177257856647167</v>
      </c>
      <c r="O20" s="139">
        <v>1.0083040935672514</v>
      </c>
      <c r="P20" s="139">
        <v>0.93374278801414479</v>
      </c>
      <c r="Q20" s="143">
        <v>0.57587448084910009</v>
      </c>
      <c r="R20" s="139">
        <v>0.7011844331641286</v>
      </c>
      <c r="S20" s="139">
        <v>0.75384615384615383</v>
      </c>
      <c r="T20" s="143">
        <v>0.73586191233250053</v>
      </c>
      <c r="U20" s="139">
        <v>0.76493930905695606</v>
      </c>
      <c r="V20" s="139">
        <v>1.0221343873517785</v>
      </c>
      <c r="W20" s="143">
        <v>1.8173089233132764</v>
      </c>
      <c r="X20" s="139">
        <v>1.244640605296343</v>
      </c>
      <c r="Y20" s="139">
        <v>1.24868806275203</v>
      </c>
      <c r="Z20" s="143">
        <v>0.85778932148021214</v>
      </c>
      <c r="AA20" s="139">
        <v>1.1315087196673492</v>
      </c>
      <c r="AB20" s="139">
        <v>1.0783942364824717</v>
      </c>
      <c r="AC20" s="143">
        <v>0.98863164882582355</v>
      </c>
      <c r="AD20" s="139">
        <v>1.0343491735537189</v>
      </c>
      <c r="AE20" s="143">
        <v>0.80484955752212384</v>
      </c>
      <c r="AF20" s="139">
        <v>0.87466686137782479</v>
      </c>
      <c r="AG20" s="143">
        <v>0.97650387501537705</v>
      </c>
      <c r="AH20" s="139">
        <v>0.96547209949271806</v>
      </c>
    </row>
    <row r="22" spans="1:34" x14ac:dyDescent="0.3">
      <c r="B22" s="49" t="s">
        <v>402</v>
      </c>
    </row>
    <row r="23" spans="1:34" x14ac:dyDescent="0.3">
      <c r="B23" s="135" t="s">
        <v>403</v>
      </c>
    </row>
    <row r="24" spans="1:34" x14ac:dyDescent="0.3">
      <c r="B24" s="375" t="s">
        <v>435</v>
      </c>
      <c r="C24" s="375"/>
      <c r="D24" s="375"/>
    </row>
    <row r="25" spans="1:34" x14ac:dyDescent="0.3">
      <c r="B25" s="372" t="s">
        <v>432</v>
      </c>
      <c r="C25" s="372"/>
      <c r="D25" s="372"/>
    </row>
    <row r="26" spans="1:34" x14ac:dyDescent="0.3">
      <c r="B26" s="373" t="s">
        <v>436</v>
      </c>
      <c r="C26" s="374"/>
      <c r="D26" s="374"/>
      <c r="E26" s="141" t="s">
        <v>252</v>
      </c>
      <c r="F26" s="135" t="s">
        <v>252</v>
      </c>
      <c r="G26" s="135" t="s">
        <v>252</v>
      </c>
      <c r="H26" s="141" t="s">
        <v>252</v>
      </c>
      <c r="I26" s="135" t="s">
        <v>252</v>
      </c>
      <c r="J26" s="135" t="s">
        <v>252</v>
      </c>
      <c r="K26" s="141" t="s">
        <v>252</v>
      </c>
      <c r="L26" s="135" t="s">
        <v>252</v>
      </c>
      <c r="M26" s="135" t="s">
        <v>252</v>
      </c>
      <c r="N26" s="138" t="s">
        <v>252</v>
      </c>
      <c r="O26" s="138" t="s">
        <v>252</v>
      </c>
      <c r="P26" s="138" t="s">
        <v>252</v>
      </c>
      <c r="W26" s="141" t="s">
        <v>252</v>
      </c>
      <c r="X26" s="135" t="s">
        <v>252</v>
      </c>
      <c r="Y26" s="135" t="s">
        <v>252</v>
      </c>
      <c r="Z26" s="141" t="s">
        <v>252</v>
      </c>
      <c r="AA26" s="135" t="s">
        <v>252</v>
      </c>
      <c r="AB26" s="135" t="s">
        <v>252</v>
      </c>
      <c r="AC26" s="141" t="s">
        <v>252</v>
      </c>
      <c r="AD26" s="135" t="s">
        <v>252</v>
      </c>
      <c r="AE26" s="141" t="s">
        <v>252</v>
      </c>
      <c r="AF26" s="135" t="s">
        <v>252</v>
      </c>
      <c r="AG26" s="141" t="s">
        <v>252</v>
      </c>
      <c r="AH26" s="135" t="s">
        <v>252</v>
      </c>
    </row>
    <row r="27" spans="1:34" x14ac:dyDescent="0.3">
      <c r="B27" s="372" t="s">
        <v>433</v>
      </c>
      <c r="C27" s="372"/>
      <c r="D27" s="372"/>
    </row>
    <row r="28" spans="1:34" x14ac:dyDescent="0.3">
      <c r="B28" s="373" t="s">
        <v>437</v>
      </c>
      <c r="C28" s="374"/>
      <c r="D28" s="374"/>
    </row>
    <row r="29" spans="1:34" x14ac:dyDescent="0.3">
      <c r="B29" s="376" t="s">
        <v>434</v>
      </c>
      <c r="C29" s="375"/>
      <c r="D29" s="375"/>
      <c r="Q29" s="138" t="s">
        <v>252</v>
      </c>
      <c r="R29" s="138" t="s">
        <v>252</v>
      </c>
      <c r="S29" s="138" t="s">
        <v>252</v>
      </c>
      <c r="T29" s="138" t="s">
        <v>252</v>
      </c>
      <c r="U29" s="138" t="s">
        <v>252</v>
      </c>
      <c r="V29" s="138" t="s">
        <v>252</v>
      </c>
    </row>
    <row r="30" spans="1:34" x14ac:dyDescent="0.3">
      <c r="B30" s="371"/>
      <c r="C30" s="371"/>
      <c r="D30" s="371"/>
    </row>
    <row r="31" spans="1:34" x14ac:dyDescent="0.3">
      <c r="B31" s="371"/>
      <c r="C31" s="372"/>
      <c r="D31" s="372"/>
      <c r="N31" s="141" t="s">
        <v>438</v>
      </c>
    </row>
    <row r="33" spans="1:34" x14ac:dyDescent="0.3">
      <c r="A33" s="142">
        <v>7</v>
      </c>
      <c r="B33" s="142" t="s">
        <v>439</v>
      </c>
    </row>
    <row r="34" spans="1:34" s="139" customFormat="1" x14ac:dyDescent="0.3">
      <c r="B34" s="139" t="s">
        <v>116</v>
      </c>
      <c r="C34" s="139" t="s">
        <v>440</v>
      </c>
      <c r="E34" s="143">
        <v>2.7499999999999996</v>
      </c>
      <c r="F34" s="139">
        <v>2.2118320610687023</v>
      </c>
      <c r="G34" s="139">
        <v>2.1660777385159009</v>
      </c>
      <c r="H34" s="143">
        <v>0.98654708520179368</v>
      </c>
      <c r="I34" s="139">
        <v>0.98666666666666669</v>
      </c>
      <c r="J34" s="139">
        <v>0.97402597402597402</v>
      </c>
      <c r="K34" s="143">
        <v>2.3642857142857143</v>
      </c>
      <c r="L34" s="139">
        <v>1.8379160636758323</v>
      </c>
      <c r="M34" s="139">
        <v>3.1232876712328772</v>
      </c>
      <c r="N34" s="143">
        <v>1.9616087751371114</v>
      </c>
      <c r="O34" s="139">
        <v>1.8253968253968256</v>
      </c>
      <c r="P34" s="139">
        <v>2.2272727272727271</v>
      </c>
      <c r="Q34" s="143">
        <v>1.3868725868725871</v>
      </c>
      <c r="R34" s="139">
        <v>1.3713784021071114</v>
      </c>
      <c r="S34" s="139">
        <v>1.2425828970331589</v>
      </c>
      <c r="T34" s="143">
        <v>1.1141304347826089</v>
      </c>
      <c r="U34" s="139">
        <v>1.0454545454545454</v>
      </c>
      <c r="V34" s="139">
        <v>1.0909090909090908</v>
      </c>
      <c r="W34" s="143">
        <v>2.0299727520435966</v>
      </c>
      <c r="X34" s="139">
        <v>1.6653919694072659</v>
      </c>
      <c r="Y34" s="139">
        <v>3.4847542003733665</v>
      </c>
      <c r="Z34" s="143">
        <v>2.9296875</v>
      </c>
      <c r="AA34" s="139">
        <v>1.98744769874477</v>
      </c>
      <c r="AB34" s="139">
        <v>2.4505494505494507</v>
      </c>
      <c r="AC34" s="143">
        <v>1.2441860465116277</v>
      </c>
      <c r="AD34" s="139">
        <v>1.2014787430683918</v>
      </c>
      <c r="AE34" s="143">
        <v>4.4477611940298507</v>
      </c>
      <c r="AF34" s="139">
        <v>3.7039999999999997</v>
      </c>
      <c r="AG34" s="143">
        <v>1.0107361963190185</v>
      </c>
      <c r="AH34" s="139">
        <v>1.2330316742081446</v>
      </c>
    </row>
    <row r="35" spans="1:34" s="139" customFormat="1" x14ac:dyDescent="0.3">
      <c r="B35" s="139" t="s">
        <v>441</v>
      </c>
      <c r="C35" s="139" t="s">
        <v>442</v>
      </c>
      <c r="E35" s="143">
        <v>7.6179775280898879E-2</v>
      </c>
      <c r="F35" s="139">
        <v>9.9158721256309604E-2</v>
      </c>
      <c r="G35" s="139">
        <v>5.7528089887640452E-2</v>
      </c>
      <c r="H35" s="143">
        <v>9.8876404494382023E-2</v>
      </c>
      <c r="I35" s="139">
        <v>0.12485939257592801</v>
      </c>
      <c r="J35" s="139">
        <v>7.6966292134831457E-2</v>
      </c>
      <c r="K35" s="143">
        <v>8.574468085106382E-2</v>
      </c>
      <c r="L35" s="139">
        <v>0.11776595744680851</v>
      </c>
      <c r="M35" s="139">
        <v>4.6595744680851058E-2</v>
      </c>
      <c r="N35" s="143">
        <v>9.9888765294771961E-2</v>
      </c>
      <c r="O35" s="139">
        <v>0.11751662971175167</v>
      </c>
      <c r="P35" s="139">
        <v>6.8965517241379309E-2</v>
      </c>
      <c r="Q35" s="143">
        <v>0.2280564263322884</v>
      </c>
      <c r="R35" s="139">
        <v>0.23765432098765432</v>
      </c>
      <c r="S35" s="139">
        <v>9.6244784422809468E-2</v>
      </c>
      <c r="T35" s="143">
        <v>8.7840909090909094E-2</v>
      </c>
      <c r="U35" s="139">
        <v>9.6184062850729515E-2</v>
      </c>
      <c r="V35" s="139">
        <v>7.4712643678160925E-2</v>
      </c>
      <c r="W35" s="143">
        <v>0.15926829268292683</v>
      </c>
      <c r="X35" s="139">
        <v>0.19343065693430658</v>
      </c>
      <c r="Y35" s="139">
        <v>0.11658536585365853</v>
      </c>
      <c r="Z35" s="143">
        <v>6.2738496071829408E-2</v>
      </c>
      <c r="AA35" s="139">
        <v>8.2940516273849615E-2</v>
      </c>
      <c r="AB35" s="139">
        <v>4.971941638608305E-2</v>
      </c>
      <c r="AC35" s="143">
        <v>8.1884057971014487E-2</v>
      </c>
      <c r="AD35" s="139">
        <v>5.6269430051813465E-2</v>
      </c>
      <c r="AE35" s="143">
        <v>5.333333333333333E-2</v>
      </c>
      <c r="AF35" s="139">
        <v>8.4404761904761913E-2</v>
      </c>
      <c r="AG35" s="143">
        <v>7.7858002406738874E-2</v>
      </c>
      <c r="AH35" s="139">
        <v>9.5873786407766989E-2</v>
      </c>
    </row>
    <row r="37" spans="1:34" x14ac:dyDescent="0.3">
      <c r="B37" s="49" t="s">
        <v>402</v>
      </c>
    </row>
    <row r="38" spans="1:34" x14ac:dyDescent="0.3">
      <c r="B38" s="135" t="s">
        <v>403</v>
      </c>
    </row>
    <row r="39" spans="1:34" ht="38.25" customHeight="1" x14ac:dyDescent="0.3">
      <c r="B39" s="376" t="s">
        <v>446</v>
      </c>
      <c r="C39" s="376"/>
      <c r="D39" s="376"/>
      <c r="E39" s="141" t="s">
        <v>252</v>
      </c>
      <c r="F39" s="135" t="s">
        <v>252</v>
      </c>
      <c r="G39" s="135" t="s">
        <v>252</v>
      </c>
      <c r="H39" s="141" t="s">
        <v>252</v>
      </c>
      <c r="I39" s="135" t="s">
        <v>252</v>
      </c>
      <c r="J39" s="135" t="s">
        <v>252</v>
      </c>
      <c r="K39" s="141" t="s">
        <v>252</v>
      </c>
      <c r="L39" s="135" t="s">
        <v>252</v>
      </c>
      <c r="M39" s="135" t="s">
        <v>252</v>
      </c>
      <c r="N39" s="141" t="s">
        <v>252</v>
      </c>
      <c r="O39" s="135" t="s">
        <v>252</v>
      </c>
      <c r="P39" s="135" t="s">
        <v>252</v>
      </c>
      <c r="Q39" s="141" t="s">
        <v>252</v>
      </c>
      <c r="R39" s="135" t="s">
        <v>252</v>
      </c>
      <c r="S39" s="135" t="s">
        <v>252</v>
      </c>
      <c r="T39" s="141" t="s">
        <v>252</v>
      </c>
      <c r="U39" s="135" t="s">
        <v>252</v>
      </c>
      <c r="V39" s="135" t="s">
        <v>252</v>
      </c>
      <c r="W39" s="141" t="s">
        <v>252</v>
      </c>
      <c r="X39" s="135" t="s">
        <v>252</v>
      </c>
      <c r="Y39" s="135" t="s">
        <v>252</v>
      </c>
      <c r="Z39" s="141" t="s">
        <v>252</v>
      </c>
      <c r="AA39" s="135" t="s">
        <v>252</v>
      </c>
      <c r="AB39" s="135" t="s">
        <v>252</v>
      </c>
      <c r="AC39" s="141" t="s">
        <v>252</v>
      </c>
      <c r="AD39" s="135" t="s">
        <v>252</v>
      </c>
      <c r="AE39" s="146" t="s">
        <v>252</v>
      </c>
      <c r="AF39" s="146" t="s">
        <v>252</v>
      </c>
      <c r="AG39" s="146" t="s">
        <v>252</v>
      </c>
      <c r="AH39" s="146" t="s">
        <v>252</v>
      </c>
    </row>
    <row r="40" spans="1:34" ht="39.75" customHeight="1" x14ac:dyDescent="0.3">
      <c r="B40" s="376" t="s">
        <v>447</v>
      </c>
      <c r="C40" s="376"/>
      <c r="D40" s="376"/>
    </row>
    <row r="41" spans="1:34" x14ac:dyDescent="0.3">
      <c r="N41" s="141" t="s">
        <v>458</v>
      </c>
    </row>
    <row r="43" spans="1:34" x14ac:dyDescent="0.3">
      <c r="A43" s="142">
        <v>8</v>
      </c>
      <c r="B43" s="142" t="s">
        <v>448</v>
      </c>
    </row>
    <row r="44" spans="1:34" s="139" customFormat="1" x14ac:dyDescent="0.3">
      <c r="B44" s="139" t="s">
        <v>109</v>
      </c>
      <c r="C44" s="139" t="s">
        <v>110</v>
      </c>
      <c r="E44" s="143">
        <v>0.83274647887323938</v>
      </c>
      <c r="F44" s="139">
        <v>1.399092970521542</v>
      </c>
      <c r="G44" s="139">
        <v>0.8151408450704225</v>
      </c>
      <c r="H44" s="143">
        <v>0.73570324574961365</v>
      </c>
      <c r="I44" s="139">
        <v>0.74188562596599694</v>
      </c>
      <c r="J44" s="139">
        <v>0.73570324574961365</v>
      </c>
      <c r="K44" s="143">
        <v>0.66956521739130437</v>
      </c>
      <c r="L44" s="139">
        <v>0.66427546628407463</v>
      </c>
      <c r="M44" s="139">
        <v>0.67540029112081512</v>
      </c>
      <c r="N44" s="143">
        <v>1.2922077922077921</v>
      </c>
      <c r="O44" s="139">
        <v>0.77666666666666662</v>
      </c>
      <c r="P44" s="139">
        <v>0.77721943048576214</v>
      </c>
      <c r="Q44" s="143">
        <v>0.77157360406091369</v>
      </c>
      <c r="R44" s="139">
        <v>0.82910321489001693</v>
      </c>
      <c r="S44" s="139">
        <v>0.94230769230769229</v>
      </c>
      <c r="T44" s="143">
        <v>0.7260504201680672</v>
      </c>
      <c r="U44" s="139">
        <v>0.75966386554621845</v>
      </c>
      <c r="V44" s="139">
        <v>0.73043478260869565</v>
      </c>
      <c r="W44" s="143">
        <v>1.5607476635514019</v>
      </c>
      <c r="X44" s="139">
        <v>0.80769230769230771</v>
      </c>
      <c r="Y44" s="139">
        <v>0.78384798099762465</v>
      </c>
      <c r="Z44" s="143">
        <v>0.81749049429657794</v>
      </c>
      <c r="AA44" s="139">
        <v>0.80916030534351147</v>
      </c>
      <c r="AB44" s="139">
        <v>0.80681818181818177</v>
      </c>
      <c r="AC44" s="143">
        <v>0.71844660194174759</v>
      </c>
      <c r="AD44" s="139">
        <v>0.73553719008264462</v>
      </c>
      <c r="AE44" s="143">
        <v>0.84799999999999998</v>
      </c>
      <c r="AF44" s="139">
        <v>0.86583184257602863</v>
      </c>
      <c r="AG44" s="143">
        <v>0.79566982408660347</v>
      </c>
      <c r="AH44" s="139">
        <v>0.86892488954344627</v>
      </c>
    </row>
    <row r="46" spans="1:34" x14ac:dyDescent="0.3">
      <c r="B46" s="49" t="s">
        <v>402</v>
      </c>
    </row>
    <row r="47" spans="1:34" x14ac:dyDescent="0.3">
      <c r="B47" s="135" t="s">
        <v>403</v>
      </c>
      <c r="F47" s="135" t="s">
        <v>412</v>
      </c>
      <c r="G47" s="135" t="s">
        <v>412</v>
      </c>
      <c r="N47" s="141" t="s">
        <v>412</v>
      </c>
    </row>
    <row r="48" spans="1:34" x14ac:dyDescent="0.3">
      <c r="B48" s="135" t="s">
        <v>449</v>
      </c>
      <c r="H48" s="141" t="s">
        <v>412</v>
      </c>
      <c r="I48" s="135" t="s">
        <v>412</v>
      </c>
      <c r="J48" s="135" t="s">
        <v>455</v>
      </c>
      <c r="K48" s="141" t="s">
        <v>412</v>
      </c>
      <c r="L48" s="135" t="s">
        <v>412</v>
      </c>
      <c r="M48" s="135" t="s">
        <v>412</v>
      </c>
      <c r="W48" s="141" t="s">
        <v>412</v>
      </c>
      <c r="AC48" s="141" t="s">
        <v>412</v>
      </c>
      <c r="AD48" s="135" t="s">
        <v>412</v>
      </c>
    </row>
    <row r="49" spans="1:34" x14ac:dyDescent="0.3">
      <c r="B49" s="49" t="s">
        <v>456</v>
      </c>
      <c r="T49" s="141" t="s">
        <v>412</v>
      </c>
      <c r="U49" s="135" t="s">
        <v>412</v>
      </c>
      <c r="V49" s="135" t="s">
        <v>412</v>
      </c>
    </row>
    <row r="50" spans="1:34" x14ac:dyDescent="0.3">
      <c r="B50" s="135" t="s">
        <v>450</v>
      </c>
      <c r="O50" s="135" t="s">
        <v>412</v>
      </c>
      <c r="P50" s="135" t="s">
        <v>412</v>
      </c>
      <c r="Q50" s="141" t="s">
        <v>412</v>
      </c>
      <c r="Y50" s="135" t="s">
        <v>412</v>
      </c>
      <c r="Z50" s="141" t="s">
        <v>412</v>
      </c>
      <c r="AA50" s="135" t="s">
        <v>412</v>
      </c>
      <c r="AB50" s="135" t="s">
        <v>412</v>
      </c>
      <c r="AG50" s="141" t="s">
        <v>412</v>
      </c>
    </row>
    <row r="51" spans="1:34" x14ac:dyDescent="0.3">
      <c r="B51" s="135" t="s">
        <v>451</v>
      </c>
      <c r="R51" s="135" t="s">
        <v>412</v>
      </c>
      <c r="X51" s="135" t="s">
        <v>412</v>
      </c>
    </row>
    <row r="52" spans="1:34" x14ac:dyDescent="0.3">
      <c r="B52" s="135" t="s">
        <v>452</v>
      </c>
      <c r="E52" s="141" t="s">
        <v>412</v>
      </c>
      <c r="S52" s="135" t="s">
        <v>412</v>
      </c>
      <c r="AE52" s="141" t="s">
        <v>412</v>
      </c>
      <c r="AF52" s="135" t="s">
        <v>412</v>
      </c>
      <c r="AH52" s="135" t="s">
        <v>412</v>
      </c>
    </row>
    <row r="53" spans="1:34" x14ac:dyDescent="0.3">
      <c r="B53" s="135" t="s">
        <v>453</v>
      </c>
    </row>
    <row r="54" spans="1:34" x14ac:dyDescent="0.3">
      <c r="B54" s="135" t="s">
        <v>454</v>
      </c>
      <c r="N54" s="141" t="s">
        <v>457</v>
      </c>
    </row>
    <row r="57" spans="1:34" x14ac:dyDescent="0.3">
      <c r="A57" s="142">
        <v>10</v>
      </c>
      <c r="B57" s="142" t="s">
        <v>459</v>
      </c>
    </row>
    <row r="58" spans="1:34" s="139" customFormat="1" x14ac:dyDescent="0.3">
      <c r="B58" s="139" t="s">
        <v>127</v>
      </c>
      <c r="C58" s="139" t="s">
        <v>460</v>
      </c>
      <c r="E58" s="143">
        <v>0.98764044943820228</v>
      </c>
      <c r="F58" s="139">
        <v>1.0005608524957936</v>
      </c>
      <c r="G58" s="139">
        <v>0.9382022471910112</v>
      </c>
      <c r="H58" s="143">
        <v>1.0011235955056179</v>
      </c>
      <c r="I58" s="139">
        <v>0.9977502812148481</v>
      </c>
      <c r="J58" s="139">
        <v>1.003370786516854</v>
      </c>
      <c r="K58" s="143">
        <v>0.99787234042553197</v>
      </c>
      <c r="L58" s="139">
        <v>0.99361702127659579</v>
      </c>
      <c r="M58" s="139">
        <v>0.99361702127659579</v>
      </c>
      <c r="N58" s="143">
        <v>0.97664071190211343</v>
      </c>
      <c r="O58" s="139">
        <v>0.97339246119733924</v>
      </c>
      <c r="P58" s="139">
        <v>0.97441601779755282</v>
      </c>
      <c r="Q58" s="143">
        <v>1.297805642633229</v>
      </c>
      <c r="R58" s="139">
        <v>1.3858024691358024</v>
      </c>
      <c r="S58" s="139">
        <v>1.1515994436717663</v>
      </c>
      <c r="T58" s="143">
        <v>0.99090909090909096</v>
      </c>
      <c r="U58" s="139">
        <v>0.978675645342312</v>
      </c>
      <c r="V58" s="139">
        <v>1.0022988505747126</v>
      </c>
      <c r="W58" s="143">
        <v>1.6097560975609757</v>
      </c>
      <c r="X58" s="139">
        <v>1.6058394160583942</v>
      </c>
      <c r="Y58" s="139">
        <v>1.6097560975609757</v>
      </c>
      <c r="Z58" s="143">
        <v>0.95061728395061729</v>
      </c>
      <c r="AA58" s="139">
        <v>0.94612794612794615</v>
      </c>
      <c r="AB58" s="139">
        <v>0.95061728395061729</v>
      </c>
      <c r="AC58" s="143">
        <v>0.98033126293995865</v>
      </c>
      <c r="AD58" s="139">
        <v>0.95647668393782381</v>
      </c>
      <c r="AE58" s="143">
        <v>1.07816091954023</v>
      </c>
      <c r="AF58" s="139">
        <v>1.1595238095238096</v>
      </c>
      <c r="AG58" s="143">
        <v>1.0409145607701564</v>
      </c>
      <c r="AH58" s="139">
        <v>1.0922330097087378</v>
      </c>
    </row>
    <row r="59" spans="1:34" s="139" customFormat="1" x14ac:dyDescent="0.3">
      <c r="B59" s="139" t="s">
        <v>461</v>
      </c>
      <c r="C59" s="139" t="s">
        <v>462</v>
      </c>
      <c r="E59" s="143">
        <v>0.9943820224719101</v>
      </c>
      <c r="F59" s="139">
        <v>0.99831744251261922</v>
      </c>
      <c r="G59" s="139">
        <v>0.95617977528089892</v>
      </c>
      <c r="H59" s="143">
        <v>1</v>
      </c>
      <c r="I59" s="139">
        <v>1.0022497187851518</v>
      </c>
      <c r="J59" s="139">
        <v>1</v>
      </c>
      <c r="K59" s="143">
        <v>1</v>
      </c>
      <c r="L59" s="139">
        <v>1</v>
      </c>
      <c r="M59" s="139">
        <v>1</v>
      </c>
      <c r="N59" s="143">
        <v>1.003337041156841</v>
      </c>
      <c r="O59" s="139">
        <v>1.001108647450111</v>
      </c>
      <c r="P59" s="139">
        <v>1</v>
      </c>
      <c r="Q59" s="143">
        <v>1.1865203761755485</v>
      </c>
      <c r="R59" s="139">
        <v>1.0771604938271604</v>
      </c>
      <c r="S59" s="139">
        <v>1.0458970792767732</v>
      </c>
      <c r="T59" s="143">
        <v>1.0113636363636365</v>
      </c>
      <c r="U59" s="139">
        <v>0.99887766554433222</v>
      </c>
      <c r="V59" s="139">
        <v>1.0229885057471264</v>
      </c>
      <c r="W59" s="143">
        <v>1.102439024390244</v>
      </c>
      <c r="X59" s="139">
        <v>1.0097323600973236</v>
      </c>
      <c r="Y59" s="139">
        <v>1.0024390243902439</v>
      </c>
      <c r="Z59" s="143">
        <v>1</v>
      </c>
      <c r="AA59" s="139">
        <v>0.99887766554433222</v>
      </c>
      <c r="AB59" s="139">
        <v>0.99663299663299665</v>
      </c>
      <c r="AC59" s="143">
        <v>0.99068322981366463</v>
      </c>
      <c r="AD59" s="139">
        <v>0.97202072538860107</v>
      </c>
      <c r="AE59" s="143">
        <v>1.0747126436781609</v>
      </c>
      <c r="AF59" s="139">
        <v>1.1595238095238096</v>
      </c>
      <c r="AG59" s="143">
        <v>1.0541516245487366</v>
      </c>
      <c r="AH59" s="139">
        <v>1.0922330097087378</v>
      </c>
    </row>
    <row r="60" spans="1:34" s="139" customFormat="1" x14ac:dyDescent="0.3">
      <c r="B60" s="139" t="s">
        <v>466</v>
      </c>
      <c r="C60" s="139" t="s">
        <v>465</v>
      </c>
      <c r="E60" s="143">
        <f t="shared" ref="E60:AH60" si="0">E58/E59</f>
        <v>0.99322033898305084</v>
      </c>
      <c r="F60" s="143">
        <f t="shared" si="0"/>
        <v>1.0022471910112358</v>
      </c>
      <c r="G60" s="143">
        <f t="shared" si="0"/>
        <v>0.98119858989424202</v>
      </c>
      <c r="H60" s="143">
        <f t="shared" si="0"/>
        <v>1.0011235955056179</v>
      </c>
      <c r="I60" s="143">
        <f t="shared" si="0"/>
        <v>0.99551066217732886</v>
      </c>
      <c r="J60" s="143">
        <f t="shared" si="0"/>
        <v>1.003370786516854</v>
      </c>
      <c r="K60" s="143">
        <f t="shared" si="0"/>
        <v>0.99787234042553197</v>
      </c>
      <c r="L60" s="143">
        <f t="shared" si="0"/>
        <v>0.99361702127659579</v>
      </c>
      <c r="M60" s="143">
        <f t="shared" si="0"/>
        <v>0.99361702127659579</v>
      </c>
      <c r="N60" s="143">
        <f t="shared" si="0"/>
        <v>0.97339246119733913</v>
      </c>
      <c r="O60" s="143">
        <f t="shared" si="0"/>
        <v>0.97231450719822798</v>
      </c>
      <c r="P60" s="143">
        <f t="shared" si="0"/>
        <v>0.97441601779755282</v>
      </c>
      <c r="Q60" s="143">
        <f t="shared" si="0"/>
        <v>1.0937912813738442</v>
      </c>
      <c r="R60" s="143">
        <f t="shared" si="0"/>
        <v>1.2865329512893984</v>
      </c>
      <c r="S60" s="143">
        <f t="shared" si="0"/>
        <v>1.1010638297872339</v>
      </c>
      <c r="T60" s="143">
        <f t="shared" si="0"/>
        <v>0.97977528089887633</v>
      </c>
      <c r="U60" s="143">
        <f t="shared" si="0"/>
        <v>0.97977528089887633</v>
      </c>
      <c r="V60" s="143">
        <f t="shared" si="0"/>
        <v>0.97977528089887633</v>
      </c>
      <c r="W60" s="143">
        <f t="shared" si="0"/>
        <v>1.4601769911504425</v>
      </c>
      <c r="X60" s="143">
        <f t="shared" si="0"/>
        <v>1.5903614457831325</v>
      </c>
      <c r="Y60" s="143">
        <f t="shared" si="0"/>
        <v>1.6058394160583942</v>
      </c>
      <c r="Z60" s="143">
        <f t="shared" si="0"/>
        <v>0.95061728395061729</v>
      </c>
      <c r="AA60" s="143">
        <f t="shared" si="0"/>
        <v>0.94719101123595506</v>
      </c>
      <c r="AB60" s="143">
        <f t="shared" si="0"/>
        <v>0.9538288288288288</v>
      </c>
      <c r="AC60" s="143">
        <f t="shared" si="0"/>
        <v>0.9895506792058516</v>
      </c>
      <c r="AD60" s="143">
        <f t="shared" si="0"/>
        <v>0.98400852878464817</v>
      </c>
      <c r="AE60" s="143">
        <f t="shared" si="0"/>
        <v>1.0032085561497328</v>
      </c>
      <c r="AF60" s="143">
        <f t="shared" si="0"/>
        <v>1</v>
      </c>
      <c r="AG60" s="143">
        <f t="shared" si="0"/>
        <v>0.9874429223744291</v>
      </c>
      <c r="AH60" s="143">
        <f t="shared" si="0"/>
        <v>1</v>
      </c>
    </row>
    <row r="62" spans="1:34" x14ac:dyDescent="0.3">
      <c r="B62" s="49" t="s">
        <v>402</v>
      </c>
    </row>
    <row r="63" spans="1:34" x14ac:dyDescent="0.3">
      <c r="B63" s="135" t="s">
        <v>403</v>
      </c>
    </row>
    <row r="64" spans="1:34" x14ac:dyDescent="0.3">
      <c r="B64" s="135" t="s">
        <v>463</v>
      </c>
      <c r="C64" s="135" t="s">
        <v>467</v>
      </c>
      <c r="E64" s="141" t="s">
        <v>412</v>
      </c>
      <c r="F64" s="135" t="s">
        <v>412</v>
      </c>
      <c r="G64" s="135" t="s">
        <v>412</v>
      </c>
      <c r="H64" s="141" t="s">
        <v>412</v>
      </c>
      <c r="I64" s="135" t="s">
        <v>412</v>
      </c>
      <c r="J64" s="135" t="s">
        <v>412</v>
      </c>
      <c r="K64" s="141" t="s">
        <v>412</v>
      </c>
      <c r="L64" s="135" t="s">
        <v>412</v>
      </c>
      <c r="M64" s="135" t="s">
        <v>412</v>
      </c>
      <c r="N64" s="141" t="s">
        <v>412</v>
      </c>
      <c r="O64" s="135" t="s">
        <v>412</v>
      </c>
      <c r="P64" s="135" t="s">
        <v>412</v>
      </c>
      <c r="Q64" s="141" t="s">
        <v>412</v>
      </c>
      <c r="R64" s="135" t="s">
        <v>412</v>
      </c>
      <c r="S64" s="135" t="s">
        <v>412</v>
      </c>
      <c r="T64" s="141" t="s">
        <v>412</v>
      </c>
      <c r="U64" s="135" t="s">
        <v>412</v>
      </c>
      <c r="V64" s="135" t="s">
        <v>412</v>
      </c>
      <c r="Z64" s="141" t="s">
        <v>412</v>
      </c>
      <c r="AA64" s="135" t="s">
        <v>412</v>
      </c>
      <c r="AB64" s="135" t="s">
        <v>412</v>
      </c>
      <c r="AC64" s="141" t="s">
        <v>412</v>
      </c>
      <c r="AD64" s="135" t="s">
        <v>412</v>
      </c>
      <c r="AE64" s="141" t="s">
        <v>412</v>
      </c>
      <c r="AF64" s="135" t="s">
        <v>412</v>
      </c>
      <c r="AG64" s="141" t="s">
        <v>412</v>
      </c>
      <c r="AH64" s="135" t="s">
        <v>412</v>
      </c>
    </row>
    <row r="65" spans="2:25" x14ac:dyDescent="0.3">
      <c r="B65" s="135" t="s">
        <v>464</v>
      </c>
      <c r="C65" s="135" t="s">
        <v>468</v>
      </c>
      <c r="W65" s="141" t="s">
        <v>412</v>
      </c>
      <c r="X65" s="135" t="s">
        <v>412</v>
      </c>
      <c r="Y65" s="135" t="s">
        <v>412</v>
      </c>
    </row>
  </sheetData>
  <mergeCells count="18">
    <mergeCell ref="B7:D7"/>
    <mergeCell ref="B9:D9"/>
    <mergeCell ref="B10:D10"/>
    <mergeCell ref="B11:D11"/>
    <mergeCell ref="B12:D12"/>
    <mergeCell ref="B40:D40"/>
    <mergeCell ref="B14:D14"/>
    <mergeCell ref="B8:D8"/>
    <mergeCell ref="B24:D24"/>
    <mergeCell ref="B25:D25"/>
    <mergeCell ref="B26:D26"/>
    <mergeCell ref="B27:D27"/>
    <mergeCell ref="B13:D13"/>
    <mergeCell ref="B28:D28"/>
    <mergeCell ref="B29:D29"/>
    <mergeCell ref="B30:D30"/>
    <mergeCell ref="B31:D31"/>
    <mergeCell ref="B39:D39"/>
  </mergeCells>
  <phoneticPr fontId="1"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100"/>
  <sheetViews>
    <sheetView workbookViewId="0">
      <selection activeCell="Q37" sqref="Q37"/>
    </sheetView>
  </sheetViews>
  <sheetFormatPr defaultRowHeight="12" x14ac:dyDescent="0.3"/>
  <cols>
    <col min="1" max="1" width="4.125" style="198" customWidth="1"/>
    <col min="2" max="4" width="2.125" style="198" customWidth="1"/>
    <col min="5" max="5" width="2.5" style="199" customWidth="1"/>
    <col min="6" max="6" width="32.625" style="199" customWidth="1"/>
    <col min="7" max="7" width="2.625" style="135" bestFit="1" customWidth="1"/>
    <col min="8" max="8" width="2.5" style="135" bestFit="1" customWidth="1"/>
    <col min="9" max="9" width="2.375" style="135" bestFit="1" customWidth="1"/>
    <col min="10" max="10" width="2.625" style="135" bestFit="1" customWidth="1"/>
    <col min="11" max="11" width="2.5" style="135" bestFit="1" customWidth="1"/>
    <col min="12" max="12" width="2.375" style="135" bestFit="1" customWidth="1"/>
    <col min="13" max="13" width="2.875" style="135" bestFit="1" customWidth="1"/>
    <col min="14" max="14" width="2.375" style="135" bestFit="1" customWidth="1"/>
    <col min="15" max="15" width="2.25" style="135" bestFit="1" customWidth="1"/>
    <col min="16" max="16" width="4.375" style="135" bestFit="1" customWidth="1"/>
    <col min="17" max="17" width="3.875" style="135" bestFit="1" customWidth="1"/>
    <col min="18" max="18" width="4.375" style="135" bestFit="1" customWidth="1"/>
    <col min="19" max="20" width="5.875" style="135" bestFit="1" customWidth="1"/>
    <col min="21" max="21" width="6.75" style="135" bestFit="1" customWidth="1"/>
    <col min="22" max="22" width="7.375" style="135" bestFit="1" customWidth="1"/>
    <col min="23" max="23" width="6.875" style="135" bestFit="1" customWidth="1"/>
    <col min="24" max="24" width="6.75" style="135" bestFit="1" customWidth="1"/>
    <col min="25" max="25" width="8.875" style="135" bestFit="1" customWidth="1"/>
    <col min="26" max="26" width="8.375" style="135" bestFit="1" customWidth="1"/>
    <col min="27" max="27" width="8.25" style="135" bestFit="1" customWidth="1"/>
    <col min="28" max="28" width="6.75" style="135" bestFit="1" customWidth="1"/>
    <col min="29" max="29" width="5.875" style="135" bestFit="1" customWidth="1"/>
    <col min="30" max="30" width="6.75" style="135" bestFit="1" customWidth="1"/>
    <col min="31" max="31" width="7.875" style="135" bestFit="1" customWidth="1"/>
    <col min="32" max="32" width="7.25" style="135" bestFit="1" customWidth="1"/>
    <col min="33" max="33" width="6.75" style="135" bestFit="1" customWidth="1"/>
    <col min="34" max="34" width="6.5" style="135" bestFit="1" customWidth="1"/>
    <col min="35" max="35" width="6.75" style="135" bestFit="1" customWidth="1"/>
    <col min="36" max="36" width="6.5" style="135" bestFit="1" customWidth="1"/>
    <col min="37" max="16384" width="9" style="135"/>
  </cols>
  <sheetData>
    <row r="1" spans="1:36" customFormat="1" ht="16.5" x14ac:dyDescent="0.3">
      <c r="G1" s="418"/>
      <c r="H1" s="418"/>
      <c r="I1" s="418"/>
      <c r="J1" s="418"/>
      <c r="K1" s="418"/>
      <c r="L1" s="418"/>
      <c r="M1" s="418"/>
      <c r="N1" s="418"/>
      <c r="O1" s="418"/>
      <c r="P1" s="418"/>
      <c r="Q1" s="418"/>
      <c r="R1" s="418"/>
    </row>
    <row r="2" spans="1:36" ht="12.75" thickBot="1" x14ac:dyDescent="0.35">
      <c r="G2" s="410" t="s">
        <v>524</v>
      </c>
      <c r="H2" s="410"/>
      <c r="I2" s="410"/>
      <c r="J2" s="410" t="s">
        <v>525</v>
      </c>
      <c r="K2" s="410"/>
      <c r="L2" s="410"/>
      <c r="M2" s="410" t="s">
        <v>526</v>
      </c>
      <c r="N2" s="410"/>
      <c r="O2" s="410"/>
      <c r="P2" s="410" t="s">
        <v>527</v>
      </c>
      <c r="Q2" s="410"/>
      <c r="R2" s="410"/>
    </row>
    <row r="3" spans="1:36" s="189" customFormat="1" ht="18" customHeight="1" x14ac:dyDescent="0.3">
      <c r="A3" s="200"/>
      <c r="B3" s="200"/>
      <c r="C3" s="200"/>
      <c r="D3" s="200"/>
      <c r="E3" s="201"/>
      <c r="F3" s="201"/>
      <c r="G3" s="208" t="s">
        <v>535</v>
      </c>
      <c r="H3" s="209" t="s">
        <v>536</v>
      </c>
      <c r="I3" s="210" t="s">
        <v>537</v>
      </c>
      <c r="J3" s="208" t="s">
        <v>535</v>
      </c>
      <c r="K3" s="209" t="s">
        <v>536</v>
      </c>
      <c r="L3" s="210" t="s">
        <v>537</v>
      </c>
      <c r="M3" s="211" t="s">
        <v>535</v>
      </c>
      <c r="N3" s="212" t="s">
        <v>536</v>
      </c>
      <c r="O3" s="213" t="s">
        <v>537</v>
      </c>
      <c r="P3" s="190" t="s">
        <v>508</v>
      </c>
      <c r="Q3" s="191" t="s">
        <v>509</v>
      </c>
      <c r="R3" s="192" t="s">
        <v>510</v>
      </c>
      <c r="S3" s="193" t="s">
        <v>511</v>
      </c>
      <c r="T3" s="194" t="s">
        <v>512</v>
      </c>
      <c r="U3" s="194" t="s">
        <v>513</v>
      </c>
      <c r="V3" s="193" t="s">
        <v>514</v>
      </c>
      <c r="W3" s="194" t="s">
        <v>515</v>
      </c>
      <c r="X3" s="194" t="s">
        <v>516</v>
      </c>
      <c r="Y3" s="193" t="s">
        <v>223</v>
      </c>
      <c r="Z3" s="194" t="s">
        <v>224</v>
      </c>
      <c r="AA3" s="194" t="s">
        <v>232</v>
      </c>
      <c r="AB3" s="195" t="s">
        <v>231</v>
      </c>
      <c r="AC3" s="196" t="s">
        <v>230</v>
      </c>
      <c r="AD3" s="196" t="s">
        <v>229</v>
      </c>
      <c r="AE3" s="195" t="s">
        <v>228</v>
      </c>
      <c r="AF3" s="196" t="s">
        <v>227</v>
      </c>
      <c r="AG3" s="193" t="s">
        <v>225</v>
      </c>
      <c r="AH3" s="196" t="s">
        <v>226</v>
      </c>
      <c r="AI3" s="194" t="s">
        <v>247</v>
      </c>
      <c r="AJ3" s="194" t="s">
        <v>248</v>
      </c>
    </row>
    <row r="4" spans="1:36" s="146" customFormat="1" ht="12.75" x14ac:dyDescent="0.3">
      <c r="A4" s="244">
        <v>1</v>
      </c>
      <c r="B4" s="245" t="s">
        <v>530</v>
      </c>
      <c r="C4" s="245"/>
      <c r="D4" s="245"/>
      <c r="E4" s="245"/>
      <c r="F4" s="246"/>
      <c r="G4" s="412" t="s">
        <v>529</v>
      </c>
      <c r="H4" s="413"/>
      <c r="I4" s="414"/>
      <c r="J4" s="415" t="s">
        <v>528</v>
      </c>
      <c r="K4" s="416"/>
      <c r="L4" s="417"/>
      <c r="M4" s="412" t="s">
        <v>529</v>
      </c>
      <c r="N4" s="413"/>
      <c r="O4" s="414"/>
      <c r="P4" s="165"/>
      <c r="Q4" s="166"/>
      <c r="R4" s="167"/>
      <c r="S4" s="159" t="s">
        <v>191</v>
      </c>
      <c r="T4" s="161" t="s">
        <v>191</v>
      </c>
      <c r="U4" s="161" t="s">
        <v>191</v>
      </c>
      <c r="V4" s="160" t="s">
        <v>191</v>
      </c>
      <c r="W4" s="155" t="s">
        <v>191</v>
      </c>
      <c r="X4" s="155" t="s">
        <v>191</v>
      </c>
      <c r="Y4" s="160" t="s">
        <v>191</v>
      </c>
      <c r="Z4" s="155" t="s">
        <v>191</v>
      </c>
      <c r="AA4" s="155" t="s">
        <v>191</v>
      </c>
      <c r="AB4" s="160" t="s">
        <v>191</v>
      </c>
      <c r="AC4" s="155" t="s">
        <v>191</v>
      </c>
      <c r="AD4" s="155" t="s">
        <v>191</v>
      </c>
      <c r="AE4" s="160" t="s">
        <v>191</v>
      </c>
      <c r="AF4" s="155" t="s">
        <v>191</v>
      </c>
      <c r="AG4" s="160" t="s">
        <v>191</v>
      </c>
      <c r="AH4" s="155" t="s">
        <v>191</v>
      </c>
      <c r="AI4" s="160" t="s">
        <v>252</v>
      </c>
      <c r="AJ4" s="155" t="s">
        <v>252</v>
      </c>
    </row>
    <row r="5" spans="1:36" s="139" customFormat="1" ht="12.75" x14ac:dyDescent="0.3">
      <c r="A5" s="215" t="s">
        <v>263</v>
      </c>
      <c r="B5" s="215"/>
      <c r="C5" s="215"/>
      <c r="D5" s="215"/>
      <c r="E5" s="411" t="s">
        <v>275</v>
      </c>
      <c r="F5" s="411"/>
      <c r="G5" s="378"/>
      <c r="H5" s="379"/>
      <c r="I5" s="380"/>
      <c r="J5" s="378" t="s">
        <v>529</v>
      </c>
      <c r="K5" s="379"/>
      <c r="L5" s="380"/>
      <c r="M5" s="165"/>
      <c r="N5" s="175"/>
      <c r="O5" s="176"/>
      <c r="P5" s="165"/>
      <c r="Q5" s="166"/>
      <c r="R5" s="167"/>
      <c r="S5" s="162"/>
      <c r="T5" s="155"/>
      <c r="U5" s="155"/>
      <c r="V5" s="160"/>
      <c r="W5" s="155"/>
      <c r="X5" s="155"/>
      <c r="Y5" s="160"/>
      <c r="Z5" s="155"/>
      <c r="AA5" s="155"/>
      <c r="AB5" s="160"/>
      <c r="AC5" s="155"/>
      <c r="AD5" s="155"/>
      <c r="AE5" s="160"/>
      <c r="AF5" s="155"/>
      <c r="AG5" s="160"/>
      <c r="AH5" s="155"/>
      <c r="AI5" s="160" t="s">
        <v>191</v>
      </c>
      <c r="AJ5" s="155" t="s">
        <v>191</v>
      </c>
    </row>
    <row r="6" spans="1:36" ht="12.75" x14ac:dyDescent="0.3">
      <c r="A6" s="215" t="s">
        <v>264</v>
      </c>
      <c r="B6" s="215"/>
      <c r="C6" s="215"/>
      <c r="D6" s="215"/>
      <c r="E6" s="411" t="s">
        <v>32</v>
      </c>
      <c r="F6" s="411"/>
      <c r="G6" s="378"/>
      <c r="H6" s="379"/>
      <c r="I6" s="380"/>
      <c r="J6" s="378" t="s">
        <v>529</v>
      </c>
      <c r="K6" s="379"/>
      <c r="L6" s="380"/>
      <c r="M6" s="165"/>
      <c r="N6" s="175"/>
      <c r="O6" s="176"/>
      <c r="P6" s="165"/>
      <c r="Q6" s="166"/>
      <c r="R6" s="167"/>
      <c r="S6" s="162"/>
      <c r="T6" s="155"/>
      <c r="U6" s="155"/>
      <c r="V6" s="160"/>
      <c r="W6" s="155"/>
      <c r="X6" s="155"/>
      <c r="Y6" s="160"/>
      <c r="Z6" s="155"/>
      <c r="AA6" s="155"/>
      <c r="AB6" s="160"/>
      <c r="AC6" s="155"/>
      <c r="AD6" s="155"/>
      <c r="AE6" s="160"/>
      <c r="AF6" s="155"/>
      <c r="AG6" s="160"/>
      <c r="AH6" s="155"/>
      <c r="AI6" s="162" t="s">
        <v>191</v>
      </c>
      <c r="AJ6" s="155" t="s">
        <v>191</v>
      </c>
    </row>
    <row r="7" spans="1:36" ht="12.75" x14ac:dyDescent="0.3">
      <c r="A7" s="215" t="s">
        <v>265</v>
      </c>
      <c r="B7" s="215"/>
      <c r="C7" s="215"/>
      <c r="D7" s="215"/>
      <c r="E7" s="411" t="s">
        <v>255</v>
      </c>
      <c r="F7" s="411"/>
      <c r="G7" s="378"/>
      <c r="H7" s="379"/>
      <c r="I7" s="380"/>
      <c r="J7" s="378" t="s">
        <v>529</v>
      </c>
      <c r="K7" s="379"/>
      <c r="L7" s="380"/>
      <c r="M7" s="165"/>
      <c r="N7" s="175"/>
      <c r="O7" s="176"/>
      <c r="P7" s="165"/>
      <c r="Q7" s="166"/>
      <c r="R7" s="167"/>
      <c r="S7" s="162"/>
      <c r="T7" s="155"/>
      <c r="U7" s="155"/>
      <c r="V7" s="160"/>
      <c r="W7" s="155"/>
      <c r="X7" s="155"/>
      <c r="Y7" s="160"/>
      <c r="Z7" s="155"/>
      <c r="AA7" s="155"/>
      <c r="AB7" s="160"/>
      <c r="AC7" s="155"/>
      <c r="AD7" s="155"/>
      <c r="AE7" s="160"/>
      <c r="AF7" s="155"/>
      <c r="AG7" s="160"/>
      <c r="AH7" s="155"/>
      <c r="AI7" s="162" t="s">
        <v>191</v>
      </c>
      <c r="AJ7" s="155" t="s">
        <v>191</v>
      </c>
    </row>
    <row r="8" spans="1:36" ht="12.75" x14ac:dyDescent="0.3">
      <c r="A8" s="215" t="s">
        <v>266</v>
      </c>
      <c r="B8" s="215"/>
      <c r="C8" s="215"/>
      <c r="D8" s="215"/>
      <c r="E8" s="411" t="s">
        <v>256</v>
      </c>
      <c r="F8" s="411"/>
      <c r="G8" s="378"/>
      <c r="H8" s="379"/>
      <c r="I8" s="380"/>
      <c r="J8" s="378" t="s">
        <v>529</v>
      </c>
      <c r="K8" s="379"/>
      <c r="L8" s="380"/>
      <c r="M8" s="165"/>
      <c r="N8" s="175"/>
      <c r="O8" s="176"/>
      <c r="P8" s="165"/>
      <c r="Q8" s="166"/>
      <c r="R8" s="167"/>
      <c r="S8" s="358"/>
      <c r="T8" s="358"/>
      <c r="U8" s="358"/>
      <c r="V8" s="160"/>
      <c r="W8" s="155"/>
      <c r="X8" s="155"/>
      <c r="Y8" s="160"/>
      <c r="Z8" s="155"/>
      <c r="AA8" s="155"/>
      <c r="AB8" s="160"/>
      <c r="AC8" s="155"/>
      <c r="AD8" s="155"/>
      <c r="AE8" s="160"/>
      <c r="AF8" s="155"/>
      <c r="AG8" s="160"/>
      <c r="AH8" s="155"/>
      <c r="AI8" s="162" t="s">
        <v>191</v>
      </c>
      <c r="AJ8" s="155" t="s">
        <v>191</v>
      </c>
    </row>
    <row r="9" spans="1:36" ht="12.75" x14ac:dyDescent="0.3">
      <c r="A9" s="216" t="s">
        <v>267</v>
      </c>
      <c r="B9" s="216"/>
      <c r="C9" s="216"/>
      <c r="D9" s="216"/>
      <c r="E9" s="385" t="s">
        <v>35</v>
      </c>
      <c r="F9" s="385"/>
      <c r="G9" s="390"/>
      <c r="H9" s="391"/>
      <c r="I9" s="392"/>
      <c r="J9" s="390" t="s">
        <v>528</v>
      </c>
      <c r="K9" s="391"/>
      <c r="L9" s="392"/>
      <c r="M9" s="217"/>
      <c r="N9" s="218"/>
      <c r="O9" s="219"/>
      <c r="P9" s="165"/>
      <c r="Q9" s="166"/>
      <c r="R9" s="167"/>
      <c r="S9" s="162"/>
      <c r="T9" s="155"/>
      <c r="U9" s="155"/>
      <c r="V9" s="160"/>
      <c r="W9" s="155"/>
      <c r="X9" s="155"/>
      <c r="Y9" s="160"/>
      <c r="Z9" s="155"/>
      <c r="AA9" s="155"/>
      <c r="AB9" s="160"/>
      <c r="AC9" s="155"/>
      <c r="AD9" s="155"/>
      <c r="AE9" s="160"/>
      <c r="AF9" s="155"/>
      <c r="AG9" s="160"/>
      <c r="AH9" s="155"/>
      <c r="AI9" s="162" t="s">
        <v>252</v>
      </c>
      <c r="AJ9" s="155" t="s">
        <v>252</v>
      </c>
    </row>
    <row r="10" spans="1:36" ht="12.75" x14ac:dyDescent="0.3">
      <c r="A10" s="220" t="s">
        <v>259</v>
      </c>
      <c r="B10" s="221" t="s">
        <v>260</v>
      </c>
      <c r="C10" s="221"/>
      <c r="D10" s="221"/>
      <c r="E10" s="221"/>
      <c r="F10" s="222"/>
      <c r="G10" s="381" t="s">
        <v>528</v>
      </c>
      <c r="H10" s="382"/>
      <c r="I10" s="383"/>
      <c r="J10" s="386" t="s">
        <v>258</v>
      </c>
      <c r="K10" s="387"/>
      <c r="L10" s="388"/>
      <c r="M10" s="381" t="s">
        <v>528</v>
      </c>
      <c r="N10" s="382"/>
      <c r="O10" s="383"/>
      <c r="P10" s="168"/>
      <c r="Q10" s="169"/>
      <c r="R10" s="170"/>
      <c r="S10" s="162" t="s">
        <v>252</v>
      </c>
      <c r="T10" s="155" t="s">
        <v>252</v>
      </c>
      <c r="U10" s="155" t="s">
        <v>252</v>
      </c>
      <c r="V10" s="163" t="s">
        <v>252</v>
      </c>
      <c r="W10" s="156" t="s">
        <v>252</v>
      </c>
      <c r="X10" s="156" t="s">
        <v>252</v>
      </c>
      <c r="Y10" s="163" t="s">
        <v>252</v>
      </c>
      <c r="Z10" s="156" t="s">
        <v>252</v>
      </c>
      <c r="AA10" s="156" t="s">
        <v>252</v>
      </c>
      <c r="AB10" s="163" t="s">
        <v>252</v>
      </c>
      <c r="AC10" s="156" t="s">
        <v>252</v>
      </c>
      <c r="AD10" s="156" t="s">
        <v>252</v>
      </c>
      <c r="AE10" s="163" t="s">
        <v>252</v>
      </c>
      <c r="AF10" s="156" t="s">
        <v>252</v>
      </c>
      <c r="AG10" s="163" t="s">
        <v>252</v>
      </c>
      <c r="AH10" s="155" t="s">
        <v>252</v>
      </c>
      <c r="AI10" s="160"/>
      <c r="AJ10" s="155"/>
    </row>
    <row r="11" spans="1:36" ht="12.75" hidden="1" customHeight="1" x14ac:dyDescent="0.3">
      <c r="A11" s="202" t="s">
        <v>268</v>
      </c>
      <c r="B11" s="202"/>
      <c r="C11" s="202"/>
      <c r="D11" s="202"/>
      <c r="E11" s="389" t="s">
        <v>356</v>
      </c>
      <c r="F11" s="389"/>
      <c r="G11" s="168"/>
      <c r="H11" s="169"/>
      <c r="I11" s="170"/>
      <c r="J11" s="174"/>
      <c r="K11" s="166"/>
      <c r="L11" s="167"/>
      <c r="M11" s="165"/>
      <c r="N11" s="166"/>
      <c r="O11" s="167"/>
      <c r="P11" s="183"/>
      <c r="Q11" s="184"/>
      <c r="R11" s="185"/>
      <c r="S11" s="162"/>
      <c r="T11" s="155"/>
      <c r="U11" s="155"/>
      <c r="V11" s="160" t="s">
        <v>191</v>
      </c>
      <c r="W11" s="155" t="s">
        <v>191</v>
      </c>
      <c r="X11" s="155" t="s">
        <v>191</v>
      </c>
      <c r="Y11" s="112" t="s">
        <v>252</v>
      </c>
      <c r="Z11" s="161" t="s">
        <v>191</v>
      </c>
      <c r="AA11" s="161" t="s">
        <v>252</v>
      </c>
      <c r="AB11" s="112" t="s">
        <v>252</v>
      </c>
      <c r="AC11" s="161" t="s">
        <v>330</v>
      </c>
      <c r="AD11" s="161" t="s">
        <v>252</v>
      </c>
      <c r="AE11" s="114" t="s">
        <v>191</v>
      </c>
      <c r="AF11" s="157" t="s">
        <v>330</v>
      </c>
      <c r="AG11" s="163" t="s">
        <v>252</v>
      </c>
      <c r="AH11" s="155" t="s">
        <v>252</v>
      </c>
      <c r="AI11" s="160"/>
      <c r="AJ11" s="155"/>
    </row>
    <row r="12" spans="1:36" ht="12.75" x14ac:dyDescent="0.3">
      <c r="A12" s="247" t="s">
        <v>268</v>
      </c>
      <c r="B12" s="247"/>
      <c r="C12" s="248" t="s">
        <v>531</v>
      </c>
      <c r="D12" s="248"/>
      <c r="E12" s="248"/>
      <c r="F12" s="241"/>
      <c r="G12" s="390" t="s">
        <v>528</v>
      </c>
      <c r="H12" s="391"/>
      <c r="I12" s="392"/>
      <c r="J12" s="249"/>
      <c r="K12" s="218"/>
      <c r="L12" s="219"/>
      <c r="M12" s="393" t="s">
        <v>529</v>
      </c>
      <c r="N12" s="394"/>
      <c r="O12" s="395"/>
      <c r="P12" s="183"/>
      <c r="Q12" s="184"/>
      <c r="R12" s="185"/>
      <c r="S12" s="162" t="s">
        <v>252</v>
      </c>
      <c r="T12" s="155" t="s">
        <v>252</v>
      </c>
      <c r="U12" s="155" t="s">
        <v>252</v>
      </c>
      <c r="V12" s="160" t="s">
        <v>329</v>
      </c>
      <c r="W12" s="155" t="s">
        <v>329</v>
      </c>
      <c r="X12" s="155" t="s">
        <v>329</v>
      </c>
      <c r="Y12" s="112" t="s">
        <v>252</v>
      </c>
      <c r="Z12" s="161" t="s">
        <v>252</v>
      </c>
      <c r="AA12" s="161" t="s">
        <v>252</v>
      </c>
      <c r="AB12" s="112" t="s">
        <v>252</v>
      </c>
      <c r="AC12" s="161" t="s">
        <v>252</v>
      </c>
      <c r="AD12" s="161" t="s">
        <v>252</v>
      </c>
      <c r="AE12" s="114" t="s">
        <v>252</v>
      </c>
      <c r="AF12" s="157" t="s">
        <v>252</v>
      </c>
      <c r="AG12" s="163"/>
      <c r="AH12" s="155"/>
      <c r="AI12" s="160"/>
      <c r="AJ12" s="155"/>
    </row>
    <row r="13" spans="1:36" ht="12.75" hidden="1" x14ac:dyDescent="0.3">
      <c r="A13" s="215" t="s">
        <v>269</v>
      </c>
      <c r="B13" s="215"/>
      <c r="C13" s="215"/>
      <c r="D13" s="215"/>
      <c r="E13" s="411" t="s">
        <v>321</v>
      </c>
      <c r="F13" s="411"/>
      <c r="G13" s="168"/>
      <c r="H13" s="169"/>
      <c r="I13" s="170"/>
      <c r="J13" s="174"/>
      <c r="K13" s="175"/>
      <c r="L13" s="176"/>
      <c r="M13" s="165"/>
      <c r="N13" s="175"/>
      <c r="O13" s="176"/>
      <c r="P13" s="168"/>
      <c r="Q13" s="169"/>
      <c r="R13" s="170"/>
      <c r="S13" s="162"/>
      <c r="T13" s="155"/>
      <c r="U13" s="155"/>
      <c r="V13" s="160"/>
      <c r="W13" s="155"/>
      <c r="X13" s="155"/>
      <c r="Y13" s="163" t="s">
        <v>252</v>
      </c>
      <c r="Z13" s="156" t="s">
        <v>252</v>
      </c>
      <c r="AA13" s="156" t="s">
        <v>252</v>
      </c>
      <c r="AB13" s="163" t="s">
        <v>252</v>
      </c>
      <c r="AC13" s="156" t="s">
        <v>252</v>
      </c>
      <c r="AD13" s="156" t="s">
        <v>252</v>
      </c>
      <c r="AE13" s="163" t="s">
        <v>332</v>
      </c>
      <c r="AF13" s="156" t="s">
        <v>332</v>
      </c>
      <c r="AG13" s="163" t="s">
        <v>252</v>
      </c>
      <c r="AH13" s="155" t="s">
        <v>317</v>
      </c>
      <c r="AI13" s="160"/>
      <c r="AJ13" s="155"/>
    </row>
    <row r="14" spans="1:36" ht="12.75" customHeight="1" x14ac:dyDescent="0.3">
      <c r="A14" s="215" t="s">
        <v>349</v>
      </c>
      <c r="B14" s="215"/>
      <c r="C14" s="215"/>
      <c r="D14" s="224" t="s">
        <v>318</v>
      </c>
      <c r="E14" s="224"/>
      <c r="F14" s="223"/>
      <c r="G14" s="378" t="s">
        <v>529</v>
      </c>
      <c r="H14" s="379"/>
      <c r="I14" s="380"/>
      <c r="J14" s="174"/>
      <c r="K14" s="175"/>
      <c r="L14" s="176"/>
      <c r="M14" s="165"/>
      <c r="N14" s="175"/>
      <c r="O14" s="176"/>
      <c r="P14" s="165"/>
      <c r="Q14" s="169"/>
      <c r="R14" s="170"/>
      <c r="S14" s="162" t="s">
        <v>191</v>
      </c>
      <c r="T14" s="155" t="s">
        <v>191</v>
      </c>
      <c r="U14" s="155" t="s">
        <v>191</v>
      </c>
      <c r="V14" s="160"/>
      <c r="W14" s="155"/>
      <c r="X14" s="155"/>
      <c r="Y14" s="160" t="s">
        <v>319</v>
      </c>
      <c r="Z14" s="156" t="s">
        <v>191</v>
      </c>
      <c r="AA14" s="156" t="s">
        <v>319</v>
      </c>
      <c r="AB14" s="160" t="s">
        <v>319</v>
      </c>
      <c r="AC14" s="156" t="s">
        <v>319</v>
      </c>
      <c r="AD14" s="156" t="s">
        <v>319</v>
      </c>
      <c r="AE14" s="365" t="s">
        <v>40</v>
      </c>
      <c r="AF14" s="365"/>
      <c r="AG14" s="160" t="s">
        <v>319</v>
      </c>
      <c r="AH14" s="156" t="s">
        <v>320</v>
      </c>
      <c r="AI14" s="160"/>
      <c r="AJ14" s="155"/>
    </row>
    <row r="15" spans="1:36" ht="12.75" customHeight="1" x14ac:dyDescent="0.3">
      <c r="A15" s="215" t="s">
        <v>288</v>
      </c>
      <c r="B15" s="215"/>
      <c r="C15" s="215"/>
      <c r="D15" s="214" t="s">
        <v>276</v>
      </c>
      <c r="E15" s="214"/>
      <c r="F15" s="223"/>
      <c r="G15" s="378" t="s">
        <v>528</v>
      </c>
      <c r="H15" s="379"/>
      <c r="I15" s="380"/>
      <c r="J15" s="174"/>
      <c r="K15" s="175"/>
      <c r="L15" s="176"/>
      <c r="M15" s="165"/>
      <c r="N15" s="175"/>
      <c r="O15" s="176"/>
      <c r="P15" s="165"/>
      <c r="Q15" s="166"/>
      <c r="R15" s="167"/>
      <c r="S15" s="162" t="s">
        <v>191</v>
      </c>
      <c r="T15" s="155" t="s">
        <v>191</v>
      </c>
      <c r="U15" s="155" t="s">
        <v>191</v>
      </c>
      <c r="V15" s="160"/>
      <c r="W15" s="155"/>
      <c r="X15" s="155"/>
      <c r="Y15" s="160" t="s">
        <v>319</v>
      </c>
      <c r="Z15" s="156" t="s">
        <v>191</v>
      </c>
      <c r="AA15" s="156" t="s">
        <v>319</v>
      </c>
      <c r="AB15" s="160" t="s">
        <v>327</v>
      </c>
      <c r="AC15" s="156" t="s">
        <v>327</v>
      </c>
      <c r="AD15" s="156" t="s">
        <v>328</v>
      </c>
      <c r="AE15" s="163"/>
      <c r="AF15" s="156"/>
      <c r="AG15" s="160" t="s">
        <v>319</v>
      </c>
      <c r="AH15" s="156" t="s">
        <v>320</v>
      </c>
      <c r="AI15" s="160"/>
      <c r="AJ15" s="155"/>
    </row>
    <row r="16" spans="1:36" ht="12.75" hidden="1" x14ac:dyDescent="0.3">
      <c r="A16" s="215" t="s">
        <v>273</v>
      </c>
      <c r="B16" s="215"/>
      <c r="C16" s="215"/>
      <c r="D16" s="215"/>
      <c r="E16" s="384" t="s">
        <v>346</v>
      </c>
      <c r="F16" s="384"/>
      <c r="G16" s="165"/>
      <c r="H16" s="175"/>
      <c r="I16" s="176"/>
      <c r="J16" s="174"/>
      <c r="K16" s="175"/>
      <c r="L16" s="176"/>
      <c r="M16" s="165"/>
      <c r="N16" s="175"/>
      <c r="O16" s="176"/>
      <c r="P16" s="183"/>
      <c r="Q16" s="184"/>
      <c r="R16" s="185"/>
      <c r="S16" s="155"/>
      <c r="T16" s="155"/>
      <c r="U16" s="155"/>
      <c r="V16" s="112"/>
      <c r="W16" s="161"/>
      <c r="X16" s="161"/>
      <c r="Y16" s="160" t="s">
        <v>319</v>
      </c>
      <c r="Z16" s="156" t="s">
        <v>191</v>
      </c>
      <c r="AA16" s="156" t="s">
        <v>319</v>
      </c>
      <c r="AB16" s="160" t="s">
        <v>327</v>
      </c>
      <c r="AC16" s="156" t="s">
        <v>327</v>
      </c>
      <c r="AD16" s="156" t="s">
        <v>327</v>
      </c>
      <c r="AE16" s="163"/>
      <c r="AF16" s="156"/>
      <c r="AG16" s="160" t="s">
        <v>319</v>
      </c>
      <c r="AH16" s="156" t="s">
        <v>320</v>
      </c>
      <c r="AI16" s="160"/>
      <c r="AJ16" s="155"/>
    </row>
    <row r="17" spans="1:36" ht="12.75" customHeight="1" x14ac:dyDescent="0.3">
      <c r="A17" s="215" t="s">
        <v>273</v>
      </c>
      <c r="B17" s="215"/>
      <c r="C17" s="215"/>
      <c r="D17" s="215"/>
      <c r="E17" s="384" t="s">
        <v>532</v>
      </c>
      <c r="F17" s="384"/>
      <c r="G17" s="378" t="s">
        <v>554</v>
      </c>
      <c r="H17" s="379"/>
      <c r="I17" s="380"/>
      <c r="J17" s="174"/>
      <c r="K17" s="175"/>
      <c r="L17" s="176"/>
      <c r="M17" s="165"/>
      <c r="N17" s="175"/>
      <c r="O17" s="176"/>
      <c r="P17" s="183"/>
      <c r="Q17" s="184"/>
      <c r="R17" s="185"/>
      <c r="S17" s="162" t="s">
        <v>191</v>
      </c>
      <c r="T17" s="155" t="s">
        <v>191</v>
      </c>
      <c r="U17" s="155" t="s">
        <v>191</v>
      </c>
      <c r="V17" s="112"/>
      <c r="W17" s="161"/>
      <c r="X17" s="161"/>
      <c r="Y17" s="160"/>
      <c r="Z17" s="156"/>
      <c r="AA17" s="156"/>
      <c r="AB17" s="160" t="s">
        <v>327</v>
      </c>
      <c r="AC17" s="156" t="s">
        <v>327</v>
      </c>
      <c r="AD17" s="156" t="s">
        <v>327</v>
      </c>
      <c r="AE17" s="163"/>
      <c r="AF17" s="156"/>
      <c r="AG17" s="160"/>
      <c r="AH17" s="156"/>
      <c r="AI17" s="160"/>
      <c r="AJ17" s="155"/>
    </row>
    <row r="18" spans="1:36" ht="12.75" hidden="1" x14ac:dyDescent="0.3">
      <c r="A18" s="215" t="s">
        <v>274</v>
      </c>
      <c r="B18" s="215"/>
      <c r="C18" s="215"/>
      <c r="D18" s="215"/>
      <c r="E18" s="384" t="s">
        <v>277</v>
      </c>
      <c r="F18" s="384"/>
      <c r="G18" s="168"/>
      <c r="H18" s="169"/>
      <c r="I18" s="170"/>
      <c r="J18" s="174"/>
      <c r="K18" s="175"/>
      <c r="L18" s="176"/>
      <c r="M18" s="168"/>
      <c r="N18" s="169"/>
      <c r="O18" s="170"/>
      <c r="P18" s="396"/>
      <c r="Q18" s="397"/>
      <c r="R18" s="398"/>
      <c r="S18" s="155"/>
      <c r="T18" s="155"/>
      <c r="U18" s="155"/>
      <c r="V18" s="358"/>
      <c r="W18" s="358"/>
      <c r="X18" s="358"/>
      <c r="Y18" s="160" t="s">
        <v>319</v>
      </c>
      <c r="Z18" s="156" t="s">
        <v>191</v>
      </c>
      <c r="AA18" s="156" t="s">
        <v>319</v>
      </c>
      <c r="AB18" s="160"/>
      <c r="AC18" s="156"/>
      <c r="AD18" s="156"/>
      <c r="AE18" s="163"/>
      <c r="AF18" s="156"/>
      <c r="AG18" s="160" t="s">
        <v>319</v>
      </c>
      <c r="AH18" s="156" t="s">
        <v>320</v>
      </c>
      <c r="AI18" s="160"/>
      <c r="AJ18" s="155"/>
    </row>
    <row r="19" spans="1:36" ht="12.75" x14ac:dyDescent="0.3">
      <c r="A19" s="215" t="s">
        <v>274</v>
      </c>
      <c r="B19" s="215"/>
      <c r="C19" s="215"/>
      <c r="D19" s="215"/>
      <c r="E19" s="384" t="s">
        <v>533</v>
      </c>
      <c r="F19" s="384"/>
      <c r="G19" s="378" t="s">
        <v>528</v>
      </c>
      <c r="H19" s="379"/>
      <c r="I19" s="380"/>
      <c r="J19" s="174"/>
      <c r="K19" s="175"/>
      <c r="L19" s="176"/>
      <c r="M19" s="168"/>
      <c r="N19" s="169"/>
      <c r="O19" s="170"/>
      <c r="P19" s="186"/>
      <c r="Q19" s="166"/>
      <c r="R19" s="167"/>
      <c r="S19" s="162" t="s">
        <v>252</v>
      </c>
      <c r="T19" s="155" t="s">
        <v>252</v>
      </c>
      <c r="U19" s="155" t="s">
        <v>252</v>
      </c>
      <c r="V19" s="155"/>
      <c r="W19" s="155"/>
      <c r="X19" s="155"/>
      <c r="Y19" s="163" t="s">
        <v>329</v>
      </c>
      <c r="Z19" s="156" t="s">
        <v>332</v>
      </c>
      <c r="AA19" s="156" t="s">
        <v>332</v>
      </c>
      <c r="AB19" s="114" t="s">
        <v>329</v>
      </c>
      <c r="AC19" s="157" t="s">
        <v>329</v>
      </c>
      <c r="AD19" s="157" t="s">
        <v>329</v>
      </c>
      <c r="AE19" s="155"/>
      <c r="AF19" s="155"/>
      <c r="AG19" s="117" t="s">
        <v>332</v>
      </c>
      <c r="AH19" s="158" t="s">
        <v>332</v>
      </c>
      <c r="AI19" s="160"/>
      <c r="AJ19" s="155"/>
    </row>
    <row r="20" spans="1:36" ht="12.75" x14ac:dyDescent="0.3">
      <c r="A20" s="215" t="s">
        <v>282</v>
      </c>
      <c r="B20" s="215"/>
      <c r="C20" s="215"/>
      <c r="D20" s="215"/>
      <c r="E20" s="384" t="s">
        <v>278</v>
      </c>
      <c r="F20" s="384"/>
      <c r="G20" s="399" t="s">
        <v>60</v>
      </c>
      <c r="H20" s="400"/>
      <c r="I20" s="401"/>
      <c r="J20" s="174"/>
      <c r="K20" s="175"/>
      <c r="L20" s="176"/>
      <c r="M20" s="396"/>
      <c r="N20" s="397"/>
      <c r="O20" s="398"/>
      <c r="P20" s="165" t="s">
        <v>332</v>
      </c>
      <c r="Q20" s="166" t="s">
        <v>332</v>
      </c>
      <c r="R20" s="167" t="s">
        <v>523</v>
      </c>
      <c r="S20" s="368" t="s">
        <v>60</v>
      </c>
      <c r="T20" s="368"/>
      <c r="U20" s="368"/>
      <c r="V20" s="160"/>
      <c r="W20" s="155"/>
      <c r="X20" s="155"/>
      <c r="Y20" s="361" t="s">
        <v>350</v>
      </c>
      <c r="Z20" s="361"/>
      <c r="AA20" s="361"/>
      <c r="AB20" s="361" t="s">
        <v>350</v>
      </c>
      <c r="AC20" s="361"/>
      <c r="AD20" s="361"/>
      <c r="AE20" s="160"/>
      <c r="AF20" s="155"/>
      <c r="AG20" s="368" t="s">
        <v>350</v>
      </c>
      <c r="AH20" s="368"/>
      <c r="AI20" s="160"/>
      <c r="AJ20" s="155"/>
    </row>
    <row r="21" spans="1:36" ht="12.75" hidden="1" x14ac:dyDescent="0.3">
      <c r="A21" s="215" t="s">
        <v>289</v>
      </c>
      <c r="B21" s="215"/>
      <c r="C21" s="215"/>
      <c r="D21" s="215"/>
      <c r="E21" s="384" t="s">
        <v>279</v>
      </c>
      <c r="F21" s="384"/>
      <c r="G21" s="168"/>
      <c r="H21" s="169"/>
      <c r="I21" s="170"/>
      <c r="J21" s="174"/>
      <c r="K21" s="175"/>
      <c r="L21" s="176"/>
      <c r="M21" s="165"/>
      <c r="N21" s="175"/>
      <c r="O21" s="176"/>
      <c r="P21" s="165"/>
      <c r="Q21" s="166"/>
      <c r="R21" s="167"/>
      <c r="S21" s="162"/>
      <c r="T21" s="162"/>
      <c r="U21" s="162"/>
      <c r="V21" s="160"/>
      <c r="W21" s="155"/>
      <c r="X21" s="155"/>
      <c r="Y21" s="156"/>
      <c r="Z21" s="156"/>
      <c r="AA21" s="156"/>
      <c r="AB21" s="156"/>
      <c r="AC21" s="156"/>
      <c r="AD21" s="156"/>
      <c r="AE21" s="160"/>
      <c r="AF21" s="155"/>
      <c r="AG21" s="162"/>
      <c r="AH21" s="162"/>
      <c r="AI21" s="160"/>
      <c r="AJ21" s="155"/>
    </row>
    <row r="22" spans="1:36" ht="12.75" x14ac:dyDescent="0.3">
      <c r="A22" s="215" t="s">
        <v>289</v>
      </c>
      <c r="B22" s="215"/>
      <c r="C22" s="215"/>
      <c r="D22" s="214" t="s">
        <v>353</v>
      </c>
      <c r="E22" s="214"/>
      <c r="F22" s="223"/>
      <c r="G22" s="168"/>
      <c r="H22" s="169"/>
      <c r="I22" s="170"/>
      <c r="J22" s="174"/>
      <c r="K22" s="175"/>
      <c r="L22" s="176"/>
      <c r="M22" s="165"/>
      <c r="N22" s="175"/>
      <c r="O22" s="176"/>
      <c r="P22" s="187" t="s">
        <v>354</v>
      </c>
      <c r="Q22" s="166"/>
      <c r="R22" s="167"/>
      <c r="S22" s="162"/>
      <c r="T22" s="162"/>
      <c r="U22" s="162"/>
      <c r="V22" s="160"/>
      <c r="W22" s="155"/>
      <c r="X22" s="155"/>
      <c r="Y22" s="156"/>
      <c r="Z22" s="156"/>
      <c r="AA22" s="156"/>
      <c r="AB22" s="156"/>
      <c r="AC22" s="156"/>
      <c r="AD22" s="156"/>
      <c r="AE22" s="160"/>
      <c r="AF22" s="155"/>
      <c r="AG22" s="162"/>
      <c r="AH22" s="162"/>
      <c r="AI22" s="160"/>
      <c r="AJ22" s="155"/>
    </row>
    <row r="23" spans="1:36" ht="12.75" x14ac:dyDescent="0.3">
      <c r="A23" s="215" t="s">
        <v>290</v>
      </c>
      <c r="B23" s="215"/>
      <c r="C23" s="215"/>
      <c r="D23" s="215"/>
      <c r="E23" s="384" t="s">
        <v>280</v>
      </c>
      <c r="F23" s="384"/>
      <c r="G23" s="168"/>
      <c r="H23" s="169"/>
      <c r="I23" s="170"/>
      <c r="J23" s="174"/>
      <c r="K23" s="175"/>
      <c r="L23" s="176"/>
      <c r="M23" s="407"/>
      <c r="N23" s="408"/>
      <c r="O23" s="409"/>
      <c r="P23" s="165"/>
      <c r="Q23" s="166"/>
      <c r="R23" s="167"/>
      <c r="S23" s="162"/>
      <c r="T23" s="162"/>
      <c r="U23" s="162"/>
      <c r="V23" s="160"/>
      <c r="W23" s="155"/>
      <c r="X23" s="155"/>
      <c r="Y23" s="156"/>
      <c r="Z23" s="156"/>
      <c r="AA23" s="156"/>
      <c r="AB23" s="156"/>
      <c r="AC23" s="156"/>
      <c r="AD23" s="156"/>
      <c r="AE23" s="160"/>
      <c r="AF23" s="155"/>
      <c r="AG23" s="162"/>
      <c r="AH23" s="162"/>
      <c r="AI23" s="160"/>
      <c r="AJ23" s="155"/>
    </row>
    <row r="24" spans="1:36" ht="12.75" x14ac:dyDescent="0.3">
      <c r="A24" s="215" t="s">
        <v>291</v>
      </c>
      <c r="B24" s="215"/>
      <c r="C24" s="215"/>
      <c r="D24" s="215"/>
      <c r="E24" s="384" t="s">
        <v>281</v>
      </c>
      <c r="F24" s="384"/>
      <c r="G24" s="171"/>
      <c r="H24" s="172"/>
      <c r="I24" s="173"/>
      <c r="J24" s="177"/>
      <c r="K24" s="178"/>
      <c r="L24" s="179"/>
      <c r="M24" s="407"/>
      <c r="N24" s="408"/>
      <c r="O24" s="409"/>
      <c r="P24" s="182"/>
      <c r="Q24" s="178"/>
      <c r="R24" s="179"/>
      <c r="S24" s="162"/>
      <c r="T24" s="162"/>
      <c r="U24" s="162"/>
      <c r="V24" s="160"/>
      <c r="W24" s="155"/>
      <c r="X24" s="155"/>
      <c r="Y24" s="156"/>
      <c r="Z24" s="156"/>
      <c r="AA24" s="156"/>
      <c r="AB24" s="156"/>
      <c r="AC24" s="156"/>
      <c r="AD24" s="156"/>
      <c r="AE24" s="160"/>
      <c r="AF24" s="155"/>
      <c r="AG24" s="162"/>
      <c r="AH24" s="162"/>
      <c r="AI24" s="160"/>
      <c r="AJ24" s="155"/>
    </row>
    <row r="25" spans="1:36" ht="12.75" x14ac:dyDescent="0.3">
      <c r="A25" s="216" t="s">
        <v>292</v>
      </c>
      <c r="B25" s="216"/>
      <c r="C25" s="216"/>
      <c r="D25" s="216"/>
      <c r="E25" s="406" t="s">
        <v>283</v>
      </c>
      <c r="F25" s="406"/>
      <c r="G25" s="225"/>
      <c r="H25" s="226"/>
      <c r="I25" s="227"/>
      <c r="J25" s="228"/>
      <c r="K25" s="229"/>
      <c r="L25" s="230"/>
      <c r="M25" s="231"/>
      <c r="N25" s="229"/>
      <c r="O25" s="230"/>
      <c r="P25" s="182"/>
      <c r="Q25" s="178"/>
      <c r="R25" s="179"/>
      <c r="S25" s="162"/>
      <c r="T25" s="162"/>
      <c r="U25" s="162"/>
      <c r="V25" s="160"/>
      <c r="W25" s="155"/>
      <c r="X25" s="155"/>
      <c r="Y25" s="156"/>
      <c r="Z25" s="156"/>
      <c r="AA25" s="156"/>
      <c r="AB25" s="156"/>
      <c r="AC25" s="156"/>
      <c r="AD25" s="156"/>
      <c r="AE25" s="160"/>
      <c r="AF25" s="155"/>
      <c r="AG25" s="162"/>
      <c r="AH25" s="162"/>
      <c r="AI25" s="160"/>
      <c r="AJ25" s="155"/>
    </row>
    <row r="26" spans="1:36" ht="12.75" x14ac:dyDescent="0.3">
      <c r="A26" s="232" t="s">
        <v>284</v>
      </c>
      <c r="B26" s="232"/>
      <c r="C26" s="233" t="s">
        <v>285</v>
      </c>
      <c r="D26" s="233"/>
      <c r="E26" s="233"/>
      <c r="F26" s="222"/>
      <c r="G26" s="234"/>
      <c r="H26" s="235"/>
      <c r="I26" s="236"/>
      <c r="J26" s="237"/>
      <c r="K26" s="238"/>
      <c r="L26" s="239"/>
      <c r="M26" s="381" t="s">
        <v>528</v>
      </c>
      <c r="N26" s="382"/>
      <c r="O26" s="383"/>
      <c r="P26" s="168"/>
      <c r="Q26" s="169"/>
      <c r="R26" s="170"/>
      <c r="S26" s="162"/>
      <c r="T26" s="162"/>
      <c r="U26" s="162"/>
      <c r="V26" s="160"/>
      <c r="W26" s="155"/>
      <c r="X26" s="155"/>
      <c r="Y26" s="156"/>
      <c r="Z26" s="156"/>
      <c r="AA26" s="156"/>
      <c r="AB26" s="156"/>
      <c r="AC26" s="156"/>
      <c r="AD26" s="156"/>
      <c r="AE26" s="160"/>
      <c r="AF26" s="155"/>
      <c r="AG26" s="162"/>
      <c r="AH26" s="162"/>
      <c r="AI26" s="160"/>
      <c r="AJ26" s="155"/>
    </row>
    <row r="27" spans="1:36" ht="12.75" x14ac:dyDescent="0.3">
      <c r="A27" s="240" t="s">
        <v>293</v>
      </c>
      <c r="B27" s="240"/>
      <c r="C27" s="240"/>
      <c r="D27" s="221" t="s">
        <v>286</v>
      </c>
      <c r="E27" s="221"/>
      <c r="F27" s="222"/>
      <c r="G27" s="234"/>
      <c r="H27" s="235"/>
      <c r="I27" s="236"/>
      <c r="J27" s="237"/>
      <c r="K27" s="238"/>
      <c r="L27" s="239"/>
      <c r="M27" s="402" t="s">
        <v>529</v>
      </c>
      <c r="N27" s="403"/>
      <c r="O27" s="404"/>
      <c r="P27" s="168"/>
      <c r="Q27" s="169"/>
      <c r="R27" s="170"/>
      <c r="S27" s="162"/>
      <c r="T27" s="162"/>
      <c r="U27" s="162"/>
      <c r="V27" s="160"/>
      <c r="W27" s="155"/>
      <c r="X27" s="155"/>
      <c r="Y27" s="156"/>
      <c r="Z27" s="156"/>
      <c r="AA27" s="156"/>
      <c r="AB27" s="156"/>
      <c r="AC27" s="156"/>
      <c r="AD27" s="156"/>
      <c r="AE27" s="160"/>
      <c r="AF27" s="155"/>
      <c r="AG27" s="162"/>
      <c r="AH27" s="162"/>
      <c r="AI27" s="160"/>
      <c r="AJ27" s="155"/>
    </row>
    <row r="28" spans="1:36" ht="12.75" x14ac:dyDescent="0.3">
      <c r="A28" s="202" t="s">
        <v>342</v>
      </c>
      <c r="B28" s="202"/>
      <c r="C28" s="202"/>
      <c r="D28" s="207" t="s">
        <v>343</v>
      </c>
      <c r="E28" s="207"/>
      <c r="G28" s="171"/>
      <c r="H28" s="172"/>
      <c r="I28" s="173"/>
      <c r="J28" s="177"/>
      <c r="K28" s="178"/>
      <c r="L28" s="179"/>
      <c r="M28" s="407" t="s">
        <v>529</v>
      </c>
      <c r="N28" s="408"/>
      <c r="O28" s="409"/>
      <c r="P28" s="182"/>
      <c r="Q28" s="178"/>
      <c r="R28" s="179"/>
      <c r="S28" s="162"/>
      <c r="T28" s="162"/>
      <c r="U28" s="162"/>
      <c r="V28" s="160"/>
      <c r="W28" s="155"/>
      <c r="X28" s="155"/>
      <c r="Y28" s="156"/>
      <c r="Z28" s="156"/>
      <c r="AA28" s="156"/>
      <c r="AB28" s="156"/>
      <c r="AC28" s="156"/>
      <c r="AD28" s="156"/>
      <c r="AE28" s="160"/>
      <c r="AF28" s="155"/>
      <c r="AG28" s="162"/>
      <c r="AH28" s="162"/>
      <c r="AI28" s="160"/>
      <c r="AJ28" s="155"/>
    </row>
    <row r="29" spans="1:36" ht="12.75" x14ac:dyDescent="0.3">
      <c r="A29" s="202" t="s">
        <v>294</v>
      </c>
      <c r="B29" s="202"/>
      <c r="C29" s="202"/>
      <c r="D29" s="202"/>
      <c r="E29" s="405" t="s">
        <v>296</v>
      </c>
      <c r="F29" s="405"/>
      <c r="G29" s="171"/>
      <c r="H29" s="172"/>
      <c r="I29" s="173"/>
      <c r="J29" s="177"/>
      <c r="K29" s="178"/>
      <c r="L29" s="179"/>
      <c r="M29" s="182"/>
      <c r="N29" s="178"/>
      <c r="O29" s="179"/>
      <c r="P29" s="182"/>
      <c r="Q29" s="178"/>
      <c r="R29" s="179"/>
    </row>
    <row r="30" spans="1:36" ht="12.75" x14ac:dyDescent="0.3">
      <c r="A30" s="202" t="s">
        <v>295</v>
      </c>
      <c r="B30" s="202"/>
      <c r="C30" s="202"/>
      <c r="D30" s="202"/>
      <c r="E30" s="389" t="s">
        <v>347</v>
      </c>
      <c r="F30" s="389"/>
      <c r="G30" s="171"/>
      <c r="H30" s="172"/>
      <c r="I30" s="173"/>
      <c r="J30" s="177"/>
      <c r="K30" s="178"/>
      <c r="L30" s="179"/>
      <c r="M30" s="182"/>
      <c r="N30" s="178"/>
      <c r="O30" s="179"/>
      <c r="P30" s="182"/>
      <c r="Q30" s="178"/>
      <c r="R30" s="179"/>
    </row>
    <row r="31" spans="1:36" ht="12.75" x14ac:dyDescent="0.3">
      <c r="A31" s="202" t="s">
        <v>299</v>
      </c>
      <c r="B31" s="202"/>
      <c r="C31" s="202"/>
      <c r="D31" s="202"/>
      <c r="E31" s="389" t="s">
        <v>301</v>
      </c>
      <c r="F31" s="389"/>
      <c r="G31" s="171"/>
      <c r="H31" s="172"/>
      <c r="I31" s="173"/>
      <c r="J31" s="177"/>
      <c r="K31" s="178"/>
      <c r="L31" s="179"/>
      <c r="M31" s="182"/>
      <c r="N31" s="178"/>
      <c r="O31" s="179"/>
      <c r="P31" s="182"/>
      <c r="Q31" s="178"/>
      <c r="R31" s="179"/>
    </row>
    <row r="32" spans="1:36" ht="12.75" x14ac:dyDescent="0.3">
      <c r="A32" s="202" t="s">
        <v>300</v>
      </c>
      <c r="B32" s="202"/>
      <c r="C32" s="202"/>
      <c r="D32" s="202"/>
      <c r="E32" s="389" t="s">
        <v>302</v>
      </c>
      <c r="F32" s="389"/>
      <c r="G32" s="171"/>
      <c r="H32" s="172"/>
      <c r="I32" s="173"/>
      <c r="J32" s="177"/>
      <c r="K32" s="178"/>
      <c r="L32" s="179"/>
      <c r="M32" s="182"/>
      <c r="N32" s="178"/>
      <c r="O32" s="179"/>
      <c r="P32" s="182"/>
      <c r="Q32" s="178"/>
      <c r="R32" s="179"/>
    </row>
    <row r="33" spans="1:18" ht="12.75" hidden="1" x14ac:dyDescent="0.3">
      <c r="A33" s="202" t="s">
        <v>297</v>
      </c>
      <c r="B33" s="202"/>
      <c r="C33" s="202"/>
      <c r="D33" s="202"/>
      <c r="E33" s="389" t="s">
        <v>298</v>
      </c>
      <c r="F33" s="389"/>
      <c r="G33" s="171"/>
      <c r="H33" s="172"/>
      <c r="I33" s="173"/>
      <c r="J33" s="177"/>
      <c r="K33" s="178"/>
      <c r="L33" s="179"/>
      <c r="M33" s="182"/>
      <c r="N33" s="178"/>
      <c r="O33" s="179"/>
      <c r="P33" s="182"/>
      <c r="Q33" s="178"/>
      <c r="R33" s="179"/>
    </row>
    <row r="34" spans="1:18" ht="12.75" x14ac:dyDescent="0.3">
      <c r="A34" s="240" t="s">
        <v>297</v>
      </c>
      <c r="B34" s="240"/>
      <c r="C34" s="240"/>
      <c r="D34" s="242" t="s">
        <v>534</v>
      </c>
      <c r="E34" s="243"/>
      <c r="F34" s="222"/>
      <c r="G34" s="234"/>
      <c r="H34" s="235"/>
      <c r="I34" s="236"/>
      <c r="J34" s="237"/>
      <c r="K34" s="238"/>
      <c r="L34" s="239"/>
      <c r="M34" s="402" t="s">
        <v>529</v>
      </c>
      <c r="N34" s="403"/>
      <c r="O34" s="404"/>
      <c r="P34" s="182"/>
      <c r="Q34" s="178"/>
      <c r="R34" s="179"/>
    </row>
    <row r="35" spans="1:18" ht="12.75" x14ac:dyDescent="0.3">
      <c r="A35" s="240" t="s">
        <v>338</v>
      </c>
      <c r="B35" s="240"/>
      <c r="C35" s="240"/>
      <c r="D35" s="242" t="s">
        <v>340</v>
      </c>
      <c r="E35" s="243"/>
      <c r="F35" s="222"/>
      <c r="G35" s="234"/>
      <c r="H35" s="235"/>
      <c r="I35" s="236"/>
      <c r="J35" s="237"/>
      <c r="K35" s="238"/>
      <c r="L35" s="239"/>
      <c r="M35" s="381" t="s">
        <v>528</v>
      </c>
      <c r="N35" s="382"/>
      <c r="O35" s="383"/>
      <c r="P35" s="182"/>
      <c r="Q35" s="178"/>
      <c r="R35" s="179"/>
    </row>
    <row r="36" spans="1:18" ht="13.5" thickBot="1" x14ac:dyDescent="0.35">
      <c r="A36" s="240" t="s">
        <v>339</v>
      </c>
      <c r="B36" s="240"/>
      <c r="C36" s="240"/>
      <c r="D36" s="242" t="s">
        <v>341</v>
      </c>
      <c r="E36" s="243"/>
      <c r="F36" s="222"/>
      <c r="G36" s="234"/>
      <c r="H36" s="235"/>
      <c r="I36" s="236"/>
      <c r="J36" s="237"/>
      <c r="K36" s="238"/>
      <c r="L36" s="239"/>
      <c r="M36" s="402" t="s">
        <v>538</v>
      </c>
      <c r="N36" s="403"/>
      <c r="O36" s="404"/>
      <c r="P36" s="188"/>
      <c r="Q36" s="180"/>
      <c r="R36" s="181"/>
    </row>
    <row r="37" spans="1:18" ht="12.75" x14ac:dyDescent="0.3">
      <c r="A37" s="202"/>
      <c r="B37" s="202"/>
      <c r="C37" s="202"/>
      <c r="D37" s="202"/>
      <c r="E37" s="203"/>
      <c r="F37" s="203"/>
      <c r="G37" s="105"/>
      <c r="H37" s="35"/>
      <c r="I37" s="35"/>
      <c r="J37" s="57"/>
      <c r="K37" s="24"/>
      <c r="L37" s="24"/>
      <c r="M37" s="160"/>
      <c r="N37" s="160"/>
      <c r="O37" s="160"/>
      <c r="P37" s="110"/>
      <c r="Q37" s="24"/>
      <c r="R37" s="24"/>
    </row>
    <row r="38" spans="1:18" ht="12.75" x14ac:dyDescent="0.3">
      <c r="A38" s="202"/>
      <c r="B38" s="202"/>
      <c r="C38" s="202"/>
      <c r="D38" s="202"/>
      <c r="E38" s="203"/>
      <c r="F38" s="203"/>
      <c r="G38" s="105"/>
      <c r="H38" s="35"/>
      <c r="I38" s="35"/>
      <c r="J38" s="57"/>
      <c r="K38" s="24"/>
      <c r="L38" s="24"/>
      <c r="M38" s="160"/>
      <c r="N38" s="160"/>
      <c r="O38" s="160"/>
      <c r="P38" s="110"/>
      <c r="Q38" s="24"/>
      <c r="R38" s="24"/>
    </row>
    <row r="39" spans="1:18" ht="12.75" x14ac:dyDescent="0.3">
      <c r="A39" s="202"/>
      <c r="B39" s="202"/>
      <c r="C39" s="202"/>
      <c r="D39" s="202"/>
      <c r="E39" s="203"/>
      <c r="F39" s="203"/>
      <c r="G39" s="105"/>
      <c r="H39" s="35"/>
      <c r="I39" s="35"/>
      <c r="J39" s="57"/>
      <c r="K39" s="24"/>
      <c r="L39" s="24"/>
      <c r="M39" s="160"/>
      <c r="N39" s="160"/>
      <c r="O39" s="160"/>
      <c r="P39" s="110"/>
      <c r="Q39" s="24"/>
      <c r="R39" s="24"/>
    </row>
    <row r="40" spans="1:18" ht="12.75" x14ac:dyDescent="0.3">
      <c r="A40" s="202"/>
      <c r="B40" s="202"/>
      <c r="C40" s="202"/>
      <c r="D40" s="202"/>
      <c r="E40" s="203"/>
      <c r="F40" s="203"/>
      <c r="G40" s="105"/>
      <c r="H40" s="35"/>
      <c r="I40" s="35"/>
      <c r="J40" s="57"/>
      <c r="K40" s="24"/>
      <c r="L40" s="24"/>
      <c r="M40" s="160"/>
      <c r="N40" s="160"/>
      <c r="O40" s="160"/>
      <c r="P40" s="110"/>
      <c r="Q40" s="24"/>
      <c r="R40" s="24"/>
    </row>
    <row r="41" spans="1:18" ht="12.75" x14ac:dyDescent="0.3">
      <c r="A41" s="202"/>
      <c r="B41" s="202"/>
      <c r="C41" s="202"/>
      <c r="D41" s="202"/>
      <c r="E41" s="203"/>
      <c r="F41" s="203"/>
      <c r="G41" s="105"/>
      <c r="H41" s="35"/>
      <c r="I41" s="35"/>
      <c r="J41" s="57"/>
      <c r="K41" s="24"/>
      <c r="L41" s="24"/>
      <c r="M41" s="160"/>
      <c r="N41" s="160"/>
      <c r="O41" s="160"/>
      <c r="P41" s="110"/>
      <c r="Q41" s="24"/>
      <c r="R41" s="24"/>
    </row>
    <row r="42" spans="1:18" ht="12.75" x14ac:dyDescent="0.3">
      <c r="A42" s="202"/>
      <c r="B42" s="202"/>
      <c r="C42" s="202"/>
      <c r="D42" s="202"/>
      <c r="E42" s="203"/>
      <c r="F42" s="203"/>
      <c r="G42" s="105"/>
      <c r="H42" s="35"/>
      <c r="I42" s="35"/>
      <c r="J42" s="57"/>
      <c r="K42" s="24"/>
      <c r="L42" s="24"/>
      <c r="M42" s="160"/>
      <c r="N42" s="160"/>
      <c r="O42" s="160"/>
      <c r="P42" s="110"/>
      <c r="Q42" s="24"/>
      <c r="R42" s="24"/>
    </row>
    <row r="43" spans="1:18" ht="12.75" x14ac:dyDescent="0.3">
      <c r="A43" s="202"/>
      <c r="B43" s="202"/>
      <c r="C43" s="202"/>
      <c r="D43" s="202"/>
      <c r="E43" s="203"/>
      <c r="F43" s="203"/>
      <c r="G43" s="105"/>
      <c r="H43" s="35"/>
      <c r="I43" s="35"/>
      <c r="J43" s="57"/>
      <c r="K43" s="24"/>
      <c r="L43" s="24"/>
      <c r="M43" s="160"/>
      <c r="N43" s="160"/>
      <c r="O43" s="160"/>
      <c r="P43" s="110"/>
      <c r="Q43" s="24"/>
      <c r="R43" s="24"/>
    </row>
    <row r="44" spans="1:18" ht="12.75" x14ac:dyDescent="0.3">
      <c r="A44" s="202"/>
      <c r="B44" s="202"/>
      <c r="C44" s="202"/>
      <c r="D44" s="202"/>
      <c r="E44" s="203"/>
      <c r="F44" s="203"/>
      <c r="G44" s="105"/>
      <c r="H44" s="35"/>
      <c r="I44" s="35"/>
      <c r="J44" s="57"/>
      <c r="K44" s="24"/>
      <c r="L44" s="24"/>
      <c r="M44" s="160"/>
      <c r="N44" s="160"/>
      <c r="O44" s="160"/>
      <c r="P44" s="110"/>
      <c r="Q44" s="24"/>
      <c r="R44" s="24"/>
    </row>
    <row r="45" spans="1:18" ht="12.75" x14ac:dyDescent="0.3">
      <c r="A45" s="202"/>
      <c r="B45" s="202"/>
      <c r="C45" s="202"/>
      <c r="D45" s="202"/>
      <c r="E45" s="203"/>
      <c r="F45" s="203"/>
      <c r="G45" s="105"/>
      <c r="H45" s="35"/>
      <c r="I45" s="35"/>
      <c r="J45" s="57"/>
      <c r="K45" s="24"/>
      <c r="L45" s="24"/>
      <c r="M45" s="160"/>
      <c r="N45" s="160"/>
      <c r="O45" s="160"/>
      <c r="P45" s="110"/>
      <c r="Q45" s="24"/>
      <c r="R45" s="24"/>
    </row>
    <row r="46" spans="1:18" ht="12.75" x14ac:dyDescent="0.3">
      <c r="A46" s="202"/>
      <c r="B46" s="202"/>
      <c r="C46" s="202"/>
      <c r="D46" s="202"/>
      <c r="E46" s="203"/>
      <c r="F46" s="203"/>
      <c r="G46" s="105"/>
      <c r="H46" s="35"/>
      <c r="I46" s="35"/>
      <c r="J46" s="57"/>
      <c r="K46" s="24"/>
      <c r="L46" s="24"/>
      <c r="M46" s="160"/>
      <c r="N46" s="160"/>
      <c r="O46" s="160"/>
      <c r="P46" s="110"/>
      <c r="Q46" s="24"/>
      <c r="R46" s="24"/>
    </row>
    <row r="47" spans="1:18" ht="12.75" x14ac:dyDescent="0.3">
      <c r="A47" s="202"/>
      <c r="B47" s="202"/>
      <c r="C47" s="202"/>
      <c r="D47" s="202"/>
      <c r="E47" s="203"/>
      <c r="F47" s="203"/>
      <c r="G47" s="105"/>
      <c r="H47" s="35"/>
      <c r="I47" s="35"/>
      <c r="J47" s="57"/>
      <c r="K47" s="24"/>
      <c r="L47" s="24"/>
      <c r="M47" s="160"/>
      <c r="N47" s="160"/>
      <c r="O47" s="160"/>
      <c r="P47" s="110"/>
      <c r="Q47" s="24"/>
      <c r="R47" s="24"/>
    </row>
    <row r="48" spans="1:18" ht="12.75" x14ac:dyDescent="0.3">
      <c r="A48" s="202"/>
      <c r="B48" s="202"/>
      <c r="C48" s="202"/>
      <c r="D48" s="202"/>
      <c r="E48" s="203"/>
      <c r="F48" s="203"/>
      <c r="G48" s="105"/>
      <c r="H48" s="35"/>
      <c r="I48" s="35"/>
      <c r="J48" s="57"/>
      <c r="K48" s="24"/>
      <c r="L48" s="24"/>
      <c r="M48" s="160"/>
      <c r="N48" s="160"/>
      <c r="O48" s="160"/>
      <c r="P48" s="110"/>
      <c r="Q48" s="24"/>
      <c r="R48" s="24"/>
    </row>
    <row r="49" spans="1:18" ht="12.75" x14ac:dyDescent="0.3">
      <c r="A49" s="202"/>
      <c r="B49" s="202"/>
      <c r="C49" s="202"/>
      <c r="D49" s="202"/>
      <c r="E49" s="203"/>
      <c r="F49" s="203"/>
      <c r="G49" s="105"/>
      <c r="H49" s="35"/>
      <c r="I49" s="35"/>
      <c r="J49" s="57"/>
      <c r="K49" s="24"/>
      <c r="L49" s="24"/>
      <c r="M49" s="160"/>
      <c r="N49" s="160"/>
      <c r="O49" s="160"/>
      <c r="P49" s="110"/>
      <c r="Q49" s="24"/>
      <c r="R49" s="24"/>
    </row>
    <row r="50" spans="1:18" ht="12.75" x14ac:dyDescent="0.3">
      <c r="A50" s="202"/>
      <c r="B50" s="202"/>
      <c r="C50" s="202"/>
      <c r="D50" s="202"/>
      <c r="E50" s="203"/>
      <c r="F50" s="203"/>
      <c r="G50" s="105"/>
      <c r="H50" s="35"/>
      <c r="I50" s="35"/>
      <c r="J50" s="57"/>
      <c r="K50" s="24"/>
      <c r="L50" s="24"/>
      <c r="M50" s="160"/>
      <c r="N50" s="160"/>
      <c r="O50" s="160"/>
      <c r="P50" s="110"/>
      <c r="Q50" s="24"/>
      <c r="R50" s="24"/>
    </row>
    <row r="51" spans="1:18" ht="12.75" x14ac:dyDescent="0.3">
      <c r="A51" s="202"/>
      <c r="B51" s="202"/>
      <c r="C51" s="202"/>
      <c r="D51" s="202"/>
      <c r="E51" s="203"/>
      <c r="F51" s="203"/>
      <c r="G51" s="105"/>
      <c r="H51" s="35"/>
      <c r="I51" s="35"/>
      <c r="J51" s="57"/>
      <c r="K51" s="24"/>
      <c r="L51" s="24"/>
      <c r="M51" s="160"/>
      <c r="N51" s="160"/>
      <c r="O51" s="160"/>
      <c r="P51" s="110"/>
      <c r="Q51" s="24"/>
      <c r="R51" s="24"/>
    </row>
    <row r="52" spans="1:18" ht="12.75" x14ac:dyDescent="0.3">
      <c r="A52" s="202"/>
      <c r="B52" s="202"/>
      <c r="C52" s="202"/>
      <c r="D52" s="202"/>
      <c r="E52" s="203"/>
      <c r="F52" s="203"/>
      <c r="G52" s="105"/>
      <c r="H52" s="35"/>
      <c r="I52" s="35"/>
      <c r="J52" s="57"/>
      <c r="K52" s="24"/>
      <c r="L52" s="24"/>
      <c r="M52" s="160"/>
      <c r="N52" s="160"/>
      <c r="O52" s="160"/>
      <c r="P52" s="110"/>
      <c r="Q52" s="24"/>
      <c r="R52" s="24"/>
    </row>
    <row r="53" spans="1:18" ht="12.75" x14ac:dyDescent="0.3">
      <c r="A53" s="202"/>
      <c r="B53" s="202"/>
      <c r="C53" s="202"/>
      <c r="D53" s="202"/>
      <c r="E53" s="203"/>
      <c r="F53" s="203"/>
      <c r="G53" s="105"/>
      <c r="H53" s="35"/>
      <c r="I53" s="35"/>
      <c r="J53" s="57"/>
      <c r="K53" s="24"/>
      <c r="L53" s="24"/>
      <c r="M53" s="160"/>
      <c r="N53" s="160"/>
      <c r="O53" s="160"/>
      <c r="P53" s="110"/>
      <c r="Q53" s="24"/>
      <c r="R53" s="24"/>
    </row>
    <row r="54" spans="1:18" ht="12.75" x14ac:dyDescent="0.3">
      <c r="A54" s="202"/>
      <c r="B54" s="202"/>
      <c r="C54" s="202"/>
      <c r="D54" s="202"/>
      <c r="E54" s="203"/>
      <c r="F54" s="203"/>
      <c r="G54" s="105"/>
      <c r="H54" s="35"/>
      <c r="I54" s="35"/>
      <c r="J54" s="57"/>
      <c r="K54" s="24"/>
      <c r="L54" s="24"/>
      <c r="M54" s="160"/>
      <c r="N54" s="160"/>
      <c r="O54" s="160"/>
      <c r="P54" s="110"/>
      <c r="Q54" s="24"/>
      <c r="R54" s="24"/>
    </row>
    <row r="55" spans="1:18" ht="12.75" x14ac:dyDescent="0.3">
      <c r="A55" s="202"/>
      <c r="B55" s="202"/>
      <c r="C55" s="202"/>
      <c r="D55" s="202"/>
      <c r="E55" s="203"/>
      <c r="F55" s="203"/>
      <c r="G55" s="105"/>
      <c r="H55" s="35"/>
      <c r="I55" s="35"/>
      <c r="J55" s="57"/>
      <c r="K55" s="24"/>
      <c r="L55" s="24"/>
      <c r="M55" s="160"/>
      <c r="N55" s="160"/>
      <c r="O55" s="160"/>
      <c r="P55" s="110"/>
      <c r="Q55" s="24"/>
      <c r="R55" s="24"/>
    </row>
    <row r="56" spans="1:18" ht="12.75" x14ac:dyDescent="0.3">
      <c r="A56" s="202"/>
      <c r="B56" s="202"/>
      <c r="C56" s="202"/>
      <c r="D56" s="202"/>
      <c r="E56" s="203"/>
      <c r="F56" s="203"/>
      <c r="G56" s="105"/>
      <c r="H56" s="35"/>
      <c r="I56" s="35"/>
      <c r="J56" s="57"/>
      <c r="K56" s="24"/>
      <c r="L56" s="24"/>
      <c r="M56" s="160"/>
      <c r="N56" s="160"/>
      <c r="O56" s="160"/>
      <c r="P56" s="110"/>
      <c r="Q56" s="24"/>
      <c r="R56" s="24"/>
    </row>
    <row r="57" spans="1:18" ht="12.75" x14ac:dyDescent="0.3">
      <c r="A57" s="202"/>
      <c r="B57" s="202"/>
      <c r="C57" s="202"/>
      <c r="D57" s="202"/>
      <c r="E57" s="203"/>
      <c r="F57" s="203"/>
      <c r="G57" s="105"/>
      <c r="H57" s="35"/>
      <c r="I57" s="35"/>
      <c r="J57" s="57"/>
      <c r="K57" s="24"/>
      <c r="L57" s="24"/>
      <c r="M57" s="160"/>
      <c r="N57" s="160"/>
      <c r="O57" s="160"/>
      <c r="P57" s="110"/>
      <c r="Q57" s="24"/>
      <c r="R57" s="24"/>
    </row>
    <row r="58" spans="1:18" ht="12.75" x14ac:dyDescent="0.3">
      <c r="A58" s="202"/>
      <c r="B58" s="202"/>
      <c r="C58" s="202"/>
      <c r="D58" s="202"/>
      <c r="E58" s="203"/>
      <c r="F58" s="203"/>
      <c r="G58" s="105"/>
      <c r="H58" s="35"/>
      <c r="I58" s="35"/>
      <c r="J58" s="57"/>
      <c r="K58" s="24"/>
      <c r="L58" s="24"/>
      <c r="M58" s="160"/>
      <c r="N58" s="160"/>
      <c r="O58" s="160"/>
      <c r="P58" s="110"/>
      <c r="Q58" s="24"/>
      <c r="R58" s="24"/>
    </row>
    <row r="59" spans="1:18" ht="12.75" x14ac:dyDescent="0.3">
      <c r="A59" s="202"/>
      <c r="B59" s="202"/>
      <c r="C59" s="202"/>
      <c r="D59" s="202"/>
      <c r="E59" s="203"/>
      <c r="F59" s="203"/>
      <c r="G59" s="105"/>
      <c r="H59" s="35"/>
      <c r="I59" s="35"/>
      <c r="J59" s="57"/>
      <c r="K59" s="24"/>
      <c r="L59" s="24"/>
      <c r="M59" s="160"/>
      <c r="N59" s="160"/>
      <c r="O59" s="160"/>
      <c r="P59" s="110"/>
      <c r="Q59" s="24"/>
      <c r="R59" s="24"/>
    </row>
    <row r="60" spans="1:18" ht="12.75" x14ac:dyDescent="0.3">
      <c r="A60" s="202"/>
      <c r="B60" s="202"/>
      <c r="C60" s="202"/>
      <c r="D60" s="202"/>
      <c r="E60" s="203"/>
      <c r="F60" s="203"/>
      <c r="G60" s="105"/>
      <c r="H60" s="35"/>
      <c r="I60" s="35"/>
      <c r="J60" s="57"/>
      <c r="K60" s="24"/>
      <c r="L60" s="24"/>
      <c r="M60" s="160"/>
      <c r="N60" s="160"/>
      <c r="O60" s="160"/>
      <c r="P60" s="110"/>
      <c r="Q60" s="24"/>
      <c r="R60" s="24"/>
    </row>
    <row r="61" spans="1:18" ht="12.75" x14ac:dyDescent="0.3">
      <c r="A61" s="202"/>
      <c r="B61" s="202"/>
      <c r="C61" s="202"/>
      <c r="D61" s="202"/>
      <c r="E61" s="203"/>
      <c r="F61" s="203"/>
      <c r="G61" s="105"/>
      <c r="H61" s="35"/>
      <c r="I61" s="35"/>
      <c r="J61" s="57"/>
      <c r="K61" s="24"/>
      <c r="L61" s="24"/>
      <c r="M61" s="160"/>
      <c r="N61" s="160"/>
      <c r="O61" s="160"/>
      <c r="P61" s="110"/>
      <c r="Q61" s="24"/>
      <c r="R61" s="24"/>
    </row>
    <row r="62" spans="1:18" ht="12.75" x14ac:dyDescent="0.3">
      <c r="A62" s="202"/>
      <c r="B62" s="202"/>
      <c r="C62" s="202"/>
      <c r="D62" s="202"/>
      <c r="E62" s="203"/>
      <c r="F62" s="203"/>
      <c r="G62" s="105"/>
      <c r="H62" s="35"/>
      <c r="I62" s="35"/>
      <c r="J62" s="57"/>
      <c r="K62" s="24"/>
      <c r="L62" s="24"/>
      <c r="M62" s="160"/>
      <c r="N62" s="160"/>
      <c r="O62" s="160"/>
      <c r="P62" s="110"/>
      <c r="Q62" s="24"/>
      <c r="R62" s="24"/>
    </row>
    <row r="63" spans="1:18" ht="12.75" x14ac:dyDescent="0.3">
      <c r="A63" s="202"/>
      <c r="B63" s="202"/>
      <c r="C63" s="202"/>
      <c r="D63" s="202"/>
      <c r="E63" s="203"/>
      <c r="F63" s="203"/>
      <c r="G63" s="105"/>
      <c r="H63" s="35"/>
      <c r="I63" s="35"/>
      <c r="J63" s="57"/>
      <c r="K63" s="24"/>
      <c r="L63" s="24"/>
      <c r="M63" s="160"/>
      <c r="N63" s="160"/>
      <c r="O63" s="160"/>
      <c r="P63" s="110"/>
      <c r="Q63" s="24"/>
      <c r="R63" s="24"/>
    </row>
    <row r="64" spans="1:18" ht="12.75" x14ac:dyDescent="0.3">
      <c r="A64" s="202"/>
      <c r="B64" s="202"/>
      <c r="C64" s="202"/>
      <c r="D64" s="202"/>
      <c r="E64" s="203"/>
      <c r="F64" s="203"/>
      <c r="G64" s="105"/>
      <c r="H64" s="35"/>
      <c r="I64" s="35"/>
      <c r="J64" s="57"/>
      <c r="K64" s="24"/>
      <c r="L64" s="24"/>
      <c r="M64" s="160"/>
      <c r="N64" s="160"/>
      <c r="O64" s="160"/>
      <c r="P64" s="110"/>
      <c r="Q64" s="24"/>
      <c r="R64" s="24"/>
    </row>
    <row r="65" spans="1:18" ht="12.75" x14ac:dyDescent="0.3">
      <c r="A65" s="202"/>
      <c r="B65" s="202"/>
      <c r="C65" s="202"/>
      <c r="D65" s="202"/>
      <c r="E65" s="203"/>
      <c r="F65" s="203"/>
      <c r="G65" s="105"/>
      <c r="H65" s="35"/>
      <c r="I65" s="35"/>
      <c r="J65" s="57"/>
      <c r="K65" s="24"/>
      <c r="L65" s="24"/>
      <c r="M65" s="160"/>
      <c r="N65" s="160"/>
      <c r="O65" s="160"/>
      <c r="P65" s="110"/>
      <c r="Q65" s="24"/>
      <c r="R65" s="24"/>
    </row>
    <row r="66" spans="1:18" ht="12.75" x14ac:dyDescent="0.3">
      <c r="A66" s="202"/>
      <c r="B66" s="202"/>
      <c r="C66" s="202"/>
      <c r="D66" s="202"/>
      <c r="E66" s="203"/>
      <c r="F66" s="203"/>
      <c r="G66" s="105"/>
      <c r="H66" s="35"/>
      <c r="I66" s="35"/>
      <c r="J66" s="57"/>
      <c r="K66" s="24"/>
      <c r="L66" s="24"/>
      <c r="M66" s="160"/>
      <c r="N66" s="160"/>
      <c r="O66" s="160"/>
      <c r="P66" s="110"/>
      <c r="Q66" s="24"/>
      <c r="R66" s="24"/>
    </row>
    <row r="67" spans="1:18" ht="12.75" x14ac:dyDescent="0.3">
      <c r="A67" s="202"/>
      <c r="B67" s="202"/>
      <c r="C67" s="202"/>
      <c r="D67" s="202"/>
      <c r="E67" s="203"/>
      <c r="F67" s="203"/>
      <c r="G67" s="105"/>
      <c r="H67" s="35"/>
      <c r="I67" s="35"/>
      <c r="J67" s="57"/>
      <c r="K67" s="24"/>
      <c r="L67" s="24"/>
      <c r="M67" s="160"/>
      <c r="N67" s="160"/>
      <c r="O67" s="160"/>
      <c r="P67" s="110"/>
      <c r="Q67" s="24"/>
      <c r="R67" s="24"/>
    </row>
    <row r="68" spans="1:18" ht="12.75" x14ac:dyDescent="0.3">
      <c r="A68" s="202"/>
      <c r="B68" s="202"/>
      <c r="C68" s="202"/>
      <c r="D68" s="202"/>
      <c r="E68" s="203"/>
      <c r="F68" s="203"/>
      <c r="G68" s="105"/>
      <c r="H68" s="35"/>
      <c r="I68" s="35"/>
      <c r="J68" s="57"/>
      <c r="K68" s="24"/>
      <c r="L68" s="24"/>
      <c r="M68" s="160"/>
      <c r="N68" s="160"/>
      <c r="O68" s="160"/>
      <c r="P68" s="110"/>
      <c r="Q68" s="24"/>
      <c r="R68" s="24"/>
    </row>
    <row r="69" spans="1:18" ht="12.75" x14ac:dyDescent="0.3">
      <c r="A69" s="202"/>
      <c r="B69" s="202"/>
      <c r="C69" s="202"/>
      <c r="D69" s="202"/>
      <c r="E69" s="203"/>
      <c r="F69" s="203"/>
      <c r="G69" s="105"/>
      <c r="H69" s="35"/>
      <c r="I69" s="35"/>
      <c r="J69" s="57"/>
      <c r="K69" s="24"/>
      <c r="L69" s="24"/>
      <c r="M69" s="160"/>
      <c r="N69" s="160"/>
      <c r="O69" s="160"/>
      <c r="P69" s="110"/>
      <c r="Q69" s="24"/>
      <c r="R69" s="24"/>
    </row>
    <row r="70" spans="1:18" ht="12.75" x14ac:dyDescent="0.3">
      <c r="A70" s="202"/>
      <c r="B70" s="202"/>
      <c r="C70" s="202"/>
      <c r="D70" s="202"/>
      <c r="E70" s="203"/>
      <c r="F70" s="203"/>
      <c r="G70" s="105"/>
      <c r="H70" s="35"/>
      <c r="I70" s="35"/>
      <c r="J70" s="57"/>
      <c r="K70" s="24"/>
      <c r="L70" s="24"/>
      <c r="M70" s="160"/>
      <c r="N70" s="160"/>
      <c r="O70" s="160"/>
      <c r="P70" s="110"/>
      <c r="Q70" s="24"/>
      <c r="R70" s="24"/>
    </row>
    <row r="71" spans="1:18" ht="12.75" x14ac:dyDescent="0.3">
      <c r="A71" s="202"/>
      <c r="B71" s="202"/>
      <c r="C71" s="202"/>
      <c r="D71" s="202"/>
      <c r="E71" s="203"/>
      <c r="F71" s="203"/>
      <c r="G71" s="105"/>
      <c r="H71" s="35"/>
      <c r="I71" s="35"/>
      <c r="J71" s="57"/>
      <c r="K71" s="24"/>
      <c r="L71" s="24"/>
      <c r="M71" s="160"/>
      <c r="N71" s="160"/>
      <c r="O71" s="160"/>
      <c r="P71" s="110"/>
      <c r="Q71" s="24"/>
      <c r="R71" s="24"/>
    </row>
    <row r="72" spans="1:18" ht="12.75" x14ac:dyDescent="0.3">
      <c r="A72" s="202"/>
      <c r="B72" s="202"/>
      <c r="C72" s="202"/>
      <c r="D72" s="202"/>
      <c r="E72" s="203"/>
      <c r="F72" s="203"/>
      <c r="G72" s="105"/>
      <c r="H72" s="35"/>
      <c r="I72" s="35"/>
      <c r="J72" s="57"/>
      <c r="K72" s="24"/>
      <c r="L72" s="24"/>
      <c r="M72" s="160"/>
      <c r="N72" s="160"/>
      <c r="O72" s="160"/>
      <c r="P72" s="110"/>
      <c r="Q72" s="24"/>
      <c r="R72" s="24"/>
    </row>
    <row r="73" spans="1:18" ht="12.75" x14ac:dyDescent="0.3">
      <c r="A73" s="202"/>
      <c r="B73" s="202"/>
      <c r="C73" s="202"/>
      <c r="D73" s="202"/>
      <c r="E73" s="203"/>
      <c r="F73" s="203"/>
      <c r="G73" s="105"/>
      <c r="H73" s="35"/>
      <c r="I73" s="35"/>
      <c r="J73" s="57"/>
      <c r="K73" s="24"/>
      <c r="L73" s="24"/>
      <c r="M73" s="160"/>
      <c r="N73" s="160"/>
      <c r="O73" s="160"/>
      <c r="P73" s="110"/>
      <c r="Q73" s="24"/>
      <c r="R73" s="24"/>
    </row>
    <row r="74" spans="1:18" ht="12.75" x14ac:dyDescent="0.3">
      <c r="A74" s="202"/>
      <c r="B74" s="202"/>
      <c r="C74" s="202"/>
      <c r="D74" s="202"/>
      <c r="E74" s="203"/>
      <c r="F74" s="203"/>
      <c r="G74" s="105"/>
      <c r="H74" s="35"/>
      <c r="I74" s="35"/>
      <c r="J74" s="57"/>
      <c r="K74" s="24"/>
      <c r="L74" s="24"/>
      <c r="M74" s="160"/>
      <c r="N74" s="160"/>
      <c r="O74" s="160"/>
      <c r="P74" s="110"/>
      <c r="Q74" s="24"/>
      <c r="R74" s="24"/>
    </row>
    <row r="75" spans="1:18" ht="12.75" x14ac:dyDescent="0.3">
      <c r="A75" s="202"/>
      <c r="B75" s="202"/>
      <c r="C75" s="202"/>
      <c r="D75" s="202"/>
      <c r="E75" s="203"/>
      <c r="F75" s="203"/>
      <c r="G75" s="105"/>
      <c r="H75" s="35"/>
      <c r="I75" s="35"/>
      <c r="J75" s="57"/>
      <c r="K75" s="24"/>
      <c r="L75" s="24"/>
      <c r="M75" s="160"/>
      <c r="N75" s="160"/>
      <c r="O75" s="160"/>
      <c r="P75" s="110"/>
      <c r="Q75" s="24"/>
      <c r="R75" s="24"/>
    </row>
    <row r="76" spans="1:18" ht="12.75" x14ac:dyDescent="0.3">
      <c r="A76" s="202"/>
      <c r="B76" s="202"/>
      <c r="C76" s="202"/>
      <c r="D76" s="202"/>
      <c r="E76" s="203"/>
      <c r="F76" s="203"/>
      <c r="G76" s="105"/>
      <c r="H76" s="35"/>
      <c r="I76" s="35"/>
      <c r="J76" s="57"/>
      <c r="K76" s="24"/>
      <c r="L76" s="24"/>
      <c r="M76" s="160"/>
      <c r="N76" s="160"/>
      <c r="O76" s="160"/>
      <c r="P76" s="110"/>
      <c r="Q76" s="24"/>
      <c r="R76" s="24"/>
    </row>
    <row r="77" spans="1:18" ht="12.75" x14ac:dyDescent="0.3">
      <c r="A77" s="202"/>
      <c r="B77" s="202"/>
      <c r="C77" s="202"/>
      <c r="D77" s="202"/>
      <c r="E77" s="203"/>
      <c r="F77" s="203"/>
      <c r="G77" s="105"/>
      <c r="H77" s="35"/>
      <c r="I77" s="35"/>
      <c r="J77" s="57"/>
      <c r="K77" s="24"/>
      <c r="L77" s="24"/>
      <c r="M77" s="160"/>
      <c r="N77" s="160"/>
      <c r="O77" s="160"/>
      <c r="P77" s="110"/>
      <c r="Q77" s="24"/>
      <c r="R77" s="24"/>
    </row>
    <row r="78" spans="1:18" ht="12.75" x14ac:dyDescent="0.3">
      <c r="A78" s="202"/>
      <c r="B78" s="202"/>
      <c r="C78" s="202"/>
      <c r="D78" s="202"/>
      <c r="E78" s="203"/>
      <c r="F78" s="203"/>
      <c r="G78" s="105"/>
      <c r="H78" s="35"/>
      <c r="I78" s="35"/>
      <c r="J78" s="57"/>
      <c r="K78" s="24"/>
      <c r="L78" s="24"/>
      <c r="M78" s="160"/>
      <c r="N78" s="160"/>
      <c r="O78" s="160"/>
      <c r="P78" s="110"/>
      <c r="Q78" s="24"/>
      <c r="R78" s="24"/>
    </row>
    <row r="79" spans="1:18" ht="12.75" x14ac:dyDescent="0.3">
      <c r="A79" s="202"/>
      <c r="B79" s="202"/>
      <c r="C79" s="202"/>
      <c r="D79" s="202"/>
      <c r="E79" s="203"/>
      <c r="F79" s="203"/>
      <c r="G79" s="105"/>
      <c r="H79" s="35"/>
      <c r="I79" s="35"/>
      <c r="J79" s="57"/>
      <c r="K79" s="24"/>
      <c r="L79" s="24"/>
      <c r="M79" s="160"/>
      <c r="N79" s="160"/>
      <c r="O79" s="160"/>
      <c r="P79" s="110"/>
      <c r="Q79" s="24"/>
      <c r="R79" s="24"/>
    </row>
    <row r="80" spans="1:18" ht="12.75" x14ac:dyDescent="0.3">
      <c r="A80" s="202"/>
      <c r="B80" s="202"/>
      <c r="C80" s="202"/>
      <c r="D80" s="202"/>
      <c r="E80" s="203"/>
      <c r="F80" s="203"/>
      <c r="G80" s="105"/>
      <c r="H80" s="35"/>
      <c r="I80" s="35"/>
      <c r="J80" s="57"/>
      <c r="K80" s="24"/>
      <c r="L80" s="24"/>
      <c r="M80" s="160"/>
      <c r="N80" s="160"/>
      <c r="O80" s="160"/>
      <c r="P80" s="110"/>
      <c r="Q80" s="24"/>
      <c r="R80" s="24"/>
    </row>
    <row r="81" spans="1:18" ht="12.75" x14ac:dyDescent="0.3">
      <c r="A81" s="202"/>
      <c r="B81" s="202"/>
      <c r="C81" s="202"/>
      <c r="D81" s="202"/>
      <c r="E81" s="203"/>
      <c r="F81" s="203"/>
      <c r="G81" s="105"/>
      <c r="H81" s="35"/>
      <c r="I81" s="35"/>
      <c r="J81" s="57"/>
      <c r="K81" s="24"/>
      <c r="L81" s="24"/>
      <c r="M81" s="160"/>
      <c r="N81" s="160"/>
      <c r="O81" s="160"/>
      <c r="P81" s="110"/>
      <c r="Q81" s="24"/>
      <c r="R81" s="24"/>
    </row>
    <row r="85" spans="1:18" ht="15" x14ac:dyDescent="0.3">
      <c r="E85" s="204"/>
    </row>
    <row r="86" spans="1:18" ht="13.5" x14ac:dyDescent="0.3">
      <c r="E86" s="206" t="s">
        <v>539</v>
      </c>
      <c r="F86" s="205"/>
    </row>
    <row r="87" spans="1:18" x14ac:dyDescent="0.3">
      <c r="E87" s="206" t="s">
        <v>540</v>
      </c>
    </row>
    <row r="88" spans="1:18" ht="13.5" x14ac:dyDescent="0.3">
      <c r="E88" s="206"/>
      <c r="F88" s="205" t="s">
        <v>517</v>
      </c>
    </row>
    <row r="89" spans="1:18" x14ac:dyDescent="0.3">
      <c r="E89" s="206" t="s">
        <v>541</v>
      </c>
    </row>
    <row r="90" spans="1:18" ht="13.5" x14ac:dyDescent="0.3">
      <c r="E90" s="206"/>
      <c r="F90" s="205" t="s">
        <v>518</v>
      </c>
    </row>
    <row r="91" spans="1:18" x14ac:dyDescent="0.3">
      <c r="E91" s="206" t="s">
        <v>542</v>
      </c>
    </row>
    <row r="92" spans="1:18" ht="13.5" x14ac:dyDescent="0.3">
      <c r="F92" s="205" t="s">
        <v>519</v>
      </c>
    </row>
    <row r="94" spans="1:18" x14ac:dyDescent="0.3">
      <c r="E94" s="206" t="s">
        <v>543</v>
      </c>
    </row>
    <row r="95" spans="1:18" x14ac:dyDescent="0.3">
      <c r="E95" s="206" t="s">
        <v>544</v>
      </c>
    </row>
    <row r="96" spans="1:18" ht="13.5" x14ac:dyDescent="0.3">
      <c r="E96" s="206"/>
      <c r="F96" s="205" t="s">
        <v>520</v>
      </c>
    </row>
    <row r="97" spans="5:6" x14ac:dyDescent="0.3">
      <c r="E97" s="206" t="s">
        <v>541</v>
      </c>
    </row>
    <row r="98" spans="5:6" ht="13.5" x14ac:dyDescent="0.3">
      <c r="E98" s="206"/>
      <c r="F98" s="205" t="s">
        <v>521</v>
      </c>
    </row>
    <row r="99" spans="5:6" x14ac:dyDescent="0.3">
      <c r="E99" s="206" t="s">
        <v>545</v>
      </c>
    </row>
    <row r="100" spans="5:6" ht="13.5" x14ac:dyDescent="0.3">
      <c r="F100" s="205" t="s">
        <v>522</v>
      </c>
    </row>
  </sheetData>
  <mergeCells count="69">
    <mergeCell ref="G1:I1"/>
    <mergeCell ref="J1:L1"/>
    <mergeCell ref="M1:O1"/>
    <mergeCell ref="P1:R1"/>
    <mergeCell ref="G2:I2"/>
    <mergeCell ref="J2:L2"/>
    <mergeCell ref="M2:O2"/>
    <mergeCell ref="P2:R2"/>
    <mergeCell ref="E13:F13"/>
    <mergeCell ref="E5:F5"/>
    <mergeCell ref="E6:F6"/>
    <mergeCell ref="E7:F7"/>
    <mergeCell ref="E8:F8"/>
    <mergeCell ref="M4:O4"/>
    <mergeCell ref="J4:L4"/>
    <mergeCell ref="J5:L5"/>
    <mergeCell ref="J6:L6"/>
    <mergeCell ref="J7:L7"/>
    <mergeCell ref="J8:L8"/>
    <mergeCell ref="G4:I4"/>
    <mergeCell ref="M36:O36"/>
    <mergeCell ref="E21:F21"/>
    <mergeCell ref="E29:F29"/>
    <mergeCell ref="E30:F30"/>
    <mergeCell ref="E31:F31"/>
    <mergeCell ref="E32:F32"/>
    <mergeCell ref="E33:F33"/>
    <mergeCell ref="E23:F23"/>
    <mergeCell ref="E24:F24"/>
    <mergeCell ref="E25:F25"/>
    <mergeCell ref="M35:O35"/>
    <mergeCell ref="M23:O23"/>
    <mergeCell ref="M24:O24"/>
    <mergeCell ref="M28:O28"/>
    <mergeCell ref="M34:O34"/>
    <mergeCell ref="M27:O27"/>
    <mergeCell ref="AG20:AH20"/>
    <mergeCell ref="E17:F17"/>
    <mergeCell ref="E18:F18"/>
    <mergeCell ref="P18:R18"/>
    <mergeCell ref="V18:X18"/>
    <mergeCell ref="E19:F19"/>
    <mergeCell ref="E20:F20"/>
    <mergeCell ref="G20:I20"/>
    <mergeCell ref="M20:O20"/>
    <mergeCell ref="S20:U20"/>
    <mergeCell ref="G17:I17"/>
    <mergeCell ref="G19:I19"/>
    <mergeCell ref="M26:O26"/>
    <mergeCell ref="AE14:AF14"/>
    <mergeCell ref="E16:F16"/>
    <mergeCell ref="E9:F9"/>
    <mergeCell ref="J10:L10"/>
    <mergeCell ref="E11:F11"/>
    <mergeCell ref="G9:I9"/>
    <mergeCell ref="G10:I10"/>
    <mergeCell ref="G12:I12"/>
    <mergeCell ref="G14:I14"/>
    <mergeCell ref="G15:I15"/>
    <mergeCell ref="J9:L9"/>
    <mergeCell ref="M10:O10"/>
    <mergeCell ref="M12:O12"/>
    <mergeCell ref="Y20:AA20"/>
    <mergeCell ref="AB20:AD20"/>
    <mergeCell ref="S8:U8"/>
    <mergeCell ref="G5:I5"/>
    <mergeCell ref="G6:I6"/>
    <mergeCell ref="G7:I7"/>
    <mergeCell ref="G8:I8"/>
  </mergeCells>
  <phoneticPr fontId="1" type="noConversion"/>
  <pageMargins left="0.7" right="0.7" top="0.75" bottom="0.75" header="0.3" footer="0.3"/>
  <pageSetup paperSize="9" orientation="portrait" horizontalDpi="4294967295" verticalDpi="4294967295"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14</vt:i4>
      </vt:variant>
    </vt:vector>
  </HeadingPairs>
  <TitlesOfParts>
    <vt:vector size="14" baseType="lpstr">
      <vt:lpstr>Serif Structure</vt:lpstr>
      <vt:lpstr>Formula</vt:lpstr>
      <vt:lpstr>Measurement</vt:lpstr>
      <vt:lpstr>Serif</vt:lpstr>
      <vt:lpstr>Serif-modified</vt:lpstr>
      <vt:lpstr>Weight</vt:lpstr>
      <vt:lpstr>Proportion</vt:lpstr>
      <vt:lpstr>Others</vt:lpstr>
      <vt:lpstr>measure 1</vt:lpstr>
      <vt:lpstr>measure 2</vt:lpstr>
      <vt:lpstr>measure 3</vt:lpstr>
      <vt:lpstr>measure 4</vt:lpstr>
      <vt:lpstr>Distance</vt:lpstr>
      <vt:lpstr>Ref</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Hyunyoung.Kim</dc:creator>
  <cp:lastModifiedBy>821042423894</cp:lastModifiedBy>
  <cp:lastPrinted>2016-01-25T09:50:51Z</cp:lastPrinted>
  <dcterms:created xsi:type="dcterms:W3CDTF">2015-04-06T10:50:47Z</dcterms:created>
  <dcterms:modified xsi:type="dcterms:W3CDTF">2023-03-04T12:10:37Z</dcterms:modified>
</cp:coreProperties>
</file>