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7"/>
  <workbookPr defaultThemeVersion="166925"/>
  <mc:AlternateContent xmlns:mc="http://schemas.openxmlformats.org/markup-compatibility/2006">
    <mc:Choice Requires="x15">
      <x15ac:absPath xmlns:x15ac="http://schemas.microsoft.com/office/spreadsheetml/2010/11/ac" url="https://tbiholding.sharepoint.com/sites/EnergicoConsulting/Gedeelde documenten/Actieve opdrachten/71671009 00020 - Energievisie Frankenthaler/Rapport/"/>
    </mc:Choice>
  </mc:AlternateContent>
  <xr:revisionPtr revIDLastSave="146" documentId="8_{D101E0B1-DF63-424B-8DBF-8DA726460CC7}" xr6:coauthVersionLast="47" xr6:coauthVersionMax="47" xr10:uidLastSave="{E71AF924-98A0-43AE-9A97-88EDCD906E34}"/>
  <bookViews>
    <workbookView xWindow="-108" yWindow="-108" windowWidth="23256" windowHeight="12576" xr2:uid="{3C148C52-BE0F-45D1-9080-F4F0DEA9F8B4}"/>
  </bookViews>
  <sheets>
    <sheet name="Eerste conclusie" sheetId="15" r:id="rId1"/>
    <sheet name="Baseload" sheetId="11" r:id="rId2"/>
    <sheet name="Totaal vermogen" sheetId="10" r:id="rId3"/>
    <sheet name="Busremise" sheetId="1" r:id="rId4"/>
    <sheet name="Gemeente wagenpark" sheetId="2" r:id="rId5"/>
    <sheet name="Gemeentelijke gebouwen" sheetId="3" r:id="rId6"/>
    <sheet name="Sligro" sheetId="4" r:id="rId7"/>
    <sheet name="Konings drinks" sheetId="6" r:id="rId8"/>
    <sheet name="Curio" sheetId="5" r:id="rId9"/>
    <sheet name="Wonen Breburg" sheetId="8" r:id="rId10"/>
    <sheet name="Ennatuurlijk" sheetId="9" r:id="rId11"/>
    <sheet name="Bavelse berg" sheetId="7" r:id="rId12"/>
    <sheet name="Getallen scenario's" sheetId="12" r:id="rId13"/>
    <sheet name="Vuistregels" sheetId="1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 i="15" l="1"/>
  <c r="F6" i="15"/>
  <c r="H6" i="15" s="1"/>
  <c r="D8" i="10"/>
  <c r="F8" i="10" s="1"/>
  <c r="F8" i="15"/>
  <c r="H8" i="15" s="1"/>
  <c r="B8" i="3"/>
  <c r="E8" i="10" l="1"/>
  <c r="E31" i="10" s="1"/>
  <c r="G8" i="15"/>
  <c r="G10" i="15" s="1"/>
  <c r="E8" i="15"/>
  <c r="C10" i="15"/>
  <c r="D10" i="15"/>
  <c r="E10" i="15"/>
  <c r="F10" i="15"/>
  <c r="H10" i="15"/>
  <c r="D4" i="3"/>
  <c r="B16" i="1"/>
  <c r="C16" i="1"/>
  <c r="B15" i="1"/>
  <c r="B9" i="3"/>
  <c r="B7" i="3"/>
  <c r="F7" i="12"/>
  <c r="E7" i="12"/>
  <c r="F13" i="14"/>
  <c r="E13" i="14"/>
  <c r="F6" i="12"/>
  <c r="L5" i="12"/>
  <c r="J5" i="12" s="1"/>
  <c r="M3" i="12"/>
  <c r="H3" i="12" s="1"/>
  <c r="J3" i="12"/>
  <c r="J6" i="12" s="1"/>
  <c r="H6" i="12" s="1"/>
  <c r="F3" i="12"/>
  <c r="H4" i="4"/>
  <c r="K21" i="10" s="1"/>
  <c r="F4" i="4"/>
  <c r="I21" i="10" s="1"/>
  <c r="J4" i="1"/>
  <c r="I4" i="6"/>
  <c r="H4" i="6"/>
  <c r="D15" i="10"/>
  <c r="E15" i="10"/>
  <c r="F15" i="10"/>
  <c r="G15" i="10"/>
  <c r="H15" i="10"/>
  <c r="I15" i="10"/>
  <c r="J15" i="10"/>
  <c r="K15" i="10"/>
  <c r="L15" i="10"/>
  <c r="G16" i="10"/>
  <c r="D17" i="10"/>
  <c r="E17" i="10"/>
  <c r="F17" i="10"/>
  <c r="G17" i="10"/>
  <c r="H17" i="10"/>
  <c r="I17" i="10"/>
  <c r="J17" i="10"/>
  <c r="K17" i="10"/>
  <c r="L17" i="10"/>
  <c r="H18" i="10"/>
  <c r="J18" i="10"/>
  <c r="L18" i="10"/>
  <c r="H21" i="10"/>
  <c r="J21" i="10"/>
  <c r="J34" i="10" s="1"/>
  <c r="L21" i="10"/>
  <c r="G21" i="10"/>
  <c r="B11" i="11"/>
  <c r="B9" i="11"/>
  <c r="J36" i="10"/>
  <c r="I36" i="10"/>
  <c r="G28" i="10"/>
  <c r="H28" i="10"/>
  <c r="I28" i="10"/>
  <c r="J28" i="10"/>
  <c r="K28" i="10"/>
  <c r="L28" i="10"/>
  <c r="G29" i="10"/>
  <c r="G30" i="10"/>
  <c r="H30" i="10"/>
  <c r="I30" i="10"/>
  <c r="J30" i="10"/>
  <c r="K30" i="10"/>
  <c r="L30" i="10"/>
  <c r="H31" i="10"/>
  <c r="J31" i="10"/>
  <c r="L31" i="10"/>
  <c r="L36" i="10"/>
  <c r="D28" i="10"/>
  <c r="E28" i="10"/>
  <c r="F28" i="10"/>
  <c r="D30" i="10"/>
  <c r="E30" i="10"/>
  <c r="F30" i="10"/>
  <c r="F31" i="10"/>
  <c r="D31" i="10"/>
  <c r="H3" i="3"/>
  <c r="F3" i="3"/>
  <c r="D3" i="3"/>
  <c r="K3" i="12" l="1"/>
  <c r="E6" i="12" s="1"/>
  <c r="F18" i="10"/>
  <c r="M5" i="12"/>
  <c r="F5" i="12"/>
  <c r="E3" i="12"/>
  <c r="K34" i="10"/>
  <c r="F21" i="10"/>
  <c r="F34" i="10" s="1"/>
  <c r="E21" i="10"/>
  <c r="E34" i="10" s="1"/>
  <c r="I34" i="10"/>
  <c r="L34" i="10"/>
  <c r="E18" i="10"/>
  <c r="K36" i="10"/>
  <c r="D18" i="10"/>
  <c r="I8" i="10"/>
  <c r="G8" i="10"/>
  <c r="K8" i="10"/>
  <c r="L4" i="10"/>
  <c r="K4" i="10"/>
  <c r="H3" i="1"/>
  <c r="H4" i="10" s="1"/>
  <c r="D5" i="4"/>
  <c r="I5" i="4"/>
  <c r="H5" i="4"/>
  <c r="F5" i="4"/>
  <c r="K6" i="10"/>
  <c r="K16" i="10" s="1"/>
  <c r="I6" i="10"/>
  <c r="D6" i="10"/>
  <c r="D16" i="10" s="1"/>
  <c r="J4" i="10"/>
  <c r="I4" i="10"/>
  <c r="G4" i="10"/>
  <c r="E4" i="1"/>
  <c r="E4" i="10" s="1"/>
  <c r="F6" i="1"/>
  <c r="F4" i="10" s="1"/>
  <c r="D4" i="10"/>
  <c r="H11" i="2"/>
  <c r="F11" i="2"/>
  <c r="H9" i="2"/>
  <c r="F9" i="2"/>
  <c r="I11" i="2"/>
  <c r="F6" i="10" s="1"/>
  <c r="G11" i="2"/>
  <c r="E6" i="10" s="1"/>
  <c r="G7" i="2"/>
  <c r="I7" i="2"/>
  <c r="I9" i="2"/>
  <c r="G9" i="2"/>
  <c r="L10" i="10" l="1"/>
  <c r="K10" i="10"/>
  <c r="E5" i="12"/>
  <c r="H5" i="12"/>
  <c r="J14" i="10"/>
  <c r="J10" i="10"/>
  <c r="D14" i="10"/>
  <c r="D23" i="10" s="1"/>
  <c r="D10" i="10"/>
  <c r="G14" i="10"/>
  <c r="G10" i="10"/>
  <c r="F14" i="10"/>
  <c r="F10" i="10"/>
  <c r="E14" i="10"/>
  <c r="E10" i="10"/>
  <c r="I14" i="10"/>
  <c r="I10" i="10"/>
  <c r="L27" i="10"/>
  <c r="L14" i="10"/>
  <c r="K31" i="10"/>
  <c r="K18" i="10"/>
  <c r="I29" i="10"/>
  <c r="I16" i="10"/>
  <c r="G31" i="10"/>
  <c r="G18" i="10"/>
  <c r="I31" i="10"/>
  <c r="I18" i="10"/>
  <c r="E29" i="10"/>
  <c r="E16" i="10"/>
  <c r="F29" i="10"/>
  <c r="F16" i="10"/>
  <c r="H27" i="10"/>
  <c r="H14" i="10"/>
  <c r="K27" i="10"/>
  <c r="K14" i="10"/>
  <c r="L6" i="10"/>
  <c r="J6" i="10"/>
  <c r="D27" i="10"/>
  <c r="K29" i="10"/>
  <c r="J27" i="10"/>
  <c r="G27" i="10"/>
  <c r="I27" i="10"/>
  <c r="F27" i="10"/>
  <c r="E27" i="10"/>
  <c r="H6" i="10"/>
  <c r="H10" i="10" s="1"/>
  <c r="D29" i="10"/>
  <c r="F38" i="10" l="1"/>
  <c r="G23" i="10"/>
  <c r="F23" i="10"/>
  <c r="E23" i="10"/>
  <c r="J29" i="10"/>
  <c r="J16" i="10"/>
  <c r="J23" i="10" s="1"/>
  <c r="K23" i="10"/>
  <c r="L29" i="10"/>
  <c r="L16" i="10"/>
  <c r="L23" i="10" s="1"/>
  <c r="I23" i="10"/>
  <c r="H16" i="10"/>
  <c r="H23" i="10" s="1"/>
  <c r="I38" i="10"/>
  <c r="G38" i="10"/>
  <c r="D38" i="10"/>
  <c r="J38" i="10"/>
  <c r="E38" i="10"/>
  <c r="H29" i="10"/>
  <c r="H38" i="10" s="1"/>
  <c r="K6" i="1"/>
  <c r="L6" i="1"/>
  <c r="G3" i="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tc={DF955AD6-25B5-4A9A-B490-D604743B60B6}</author>
    <author>tc={5C36E7C3-A746-4D5D-9CFD-3E86BF755481}</author>
    <author>tc={F891E3C5-1593-4A40-9307-FD0EB3CE9547}</author>
    <author>tc={1877B87B-7BEA-4FC2-87C6-050B76695CC9}</author>
    <author>tc={BBA8F675-B9A3-44B2-A754-E4DABE3A4979}</author>
    <author>tc={6423E355-55BA-4A25-856F-6B4E148C8DD5}</author>
    <author>tc={E4991B48-6296-400E-A3F9-7E8FAD561573}</author>
  </authors>
  <commentList>
    <comment ref="D3" authorId="0" shapeId="0" xr:uid="{DF955AD6-25B5-4A9A-B490-D604743B60B6}">
      <text>
        <t>[Threaded comment]
Your version of Excel allows you to read this threaded comment; however, any edits to it will get removed if the file is opened in a newer version of Excel. Learn more: https://go.microsoft.com/fwlink/?linkid=870924
Comment:
    Document Zero Emissie Breda</t>
      </text>
    </comment>
    <comment ref="G3" authorId="1" shapeId="0" xr:uid="{5C36E7C3-A746-4D5D-9CFD-3E86BF755481}">
      <text>
        <t>[Threaded comment]
Your version of Excel allows you to read this threaded comment; however, any edits to it will get removed if the file is opened in a newer version of Excel. Learn more: https://go.microsoft.com/fwlink/?linkid=870924
Comment:
    3*450 KW 3 laders pantograaf</t>
      </text>
    </comment>
    <comment ref="I4" authorId="2" shapeId="0" xr:uid="{F891E3C5-1593-4A40-9307-FD0EB3CE9547}">
      <text>
        <t>[Threaded comment]
Your version of Excel allows you to read this threaded comment; however, any edits to it will get removed if the file is opened in a newer version of Excel. Learn more: https://go.microsoft.com/fwlink/?linkid=870924
Comment:
    6*450 KW</t>
      </text>
    </comment>
    <comment ref="J4" authorId="3" shapeId="0" xr:uid="{1877B87B-7BEA-4FC2-87C6-050B76695CC9}">
      <text>
        <t>[Threaded comment]
Your version of Excel allows you to read this threaded comment; however, any edits to it will get removed if the file is opened in a newer version of Excel. Learn more: https://go.microsoft.com/fwlink/?linkid=870924
Comment:
    100*60 KW</t>
      </text>
    </comment>
    <comment ref="K6" authorId="4" shapeId="0" xr:uid="{BBA8F675-B9A3-44B2-A754-E4DABE3A4979}">
      <text>
        <t>[Threaded comment]
Your version of Excel allows you to read this threaded comment; however, any edits to it will get removed if the file is opened in a newer version of Excel. Learn more: https://go.microsoft.com/fwlink/?linkid=870924
Comment:
    9 snelladers 450 KW</t>
      </text>
    </comment>
    <comment ref="L6" authorId="5" shapeId="0" xr:uid="{6423E355-55BA-4A25-856F-6B4E148C8DD5}">
      <text>
        <t>[Threaded comment]
Your version of Excel allows you to read this threaded comment; however, any edits to it will get removed if the file is opened in a newer version of Excel. Learn more: https://go.microsoft.com/fwlink/?linkid=870924
Comment:
    80% 188 bussen laad 'nachts</t>
      </text>
    </comment>
    <comment ref="C16" authorId="6" shapeId="0" xr:uid="{E4991B48-6296-400E-A3F9-7E8FAD561573}">
      <text>
        <t>[Threaded comment]
Your version of Excel allows you to read this threaded comment; however, any edits to it will get removed if the file is opened in a newer version of Excel. Learn more: https://go.microsoft.com/fwlink/?linkid=870924
Comment:
    200 meter * 100 meter (Google maps); ruimte voor zon inschatting 50*25 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tc={2A013E22-3594-43F1-9D3D-33870FE898DE}</author>
    <author>tc={9FF6FF89-A817-45E1-AE69-A26B1256A6B2}</author>
    <author>tc={6606A4A0-E1F2-448D-9C0B-A58B60056178}</author>
    <author>tc={A1EFE863-A495-42E4-A92B-80FA7535C119}</author>
  </authors>
  <commentList>
    <comment ref="F9" authorId="0" shapeId="0" xr:uid="{2A013E22-3594-43F1-9D3D-33870FE898DE}">
      <text>
        <t>[Threaded comment]
Your version of Excel allows you to read this threaded comment; however, any edits to it will get removed if the file is opened in a newer version of Excel. Learn more: https://go.microsoft.com/fwlink/?linkid=870924
Comment:
    4 snelladers</t>
      </text>
    </comment>
    <comment ref="G9" authorId="1" shapeId="0" xr:uid="{9FF6FF89-A817-45E1-AE69-A26B1256A6B2}">
      <text>
        <t>[Threaded comment]
Your version of Excel allows you to read this threaded comment; however, any edits to it will get removed if the file is opened in a newer version of Excel. Learn more: https://go.microsoft.com/fwlink/?linkid=870924
Comment:
    Stel in 2025 de helft elektrisch; 80% laadt in de nacht</t>
      </text>
    </comment>
    <comment ref="H9" authorId="2" shapeId="0" xr:uid="{6606A4A0-E1F2-448D-9C0B-A58B60056178}">
      <text>
        <t>[Threaded comment]
Your version of Excel allows you to read this threaded comment; however, any edits to it will get removed if the file is opened in a newer version of Excel. Learn more: https://go.microsoft.com/fwlink/?linkid=870924
Comment:
    6 snelladers</t>
      </text>
    </comment>
    <comment ref="I9" authorId="3" shapeId="0" xr:uid="{A1EFE863-A495-42E4-A92B-80FA7535C119}">
      <text>
        <t>[Threaded comment]
Your version of Excel allows you to read this threaded comment; however, any edits to it will get removed if the file is opened in a newer version of Excel. Learn more: https://go.microsoft.com/fwlink/?linkid=870924
Comment:
    Volledige vloot vrachtwagens elektrisch; 80% in de nacht gelijktijdig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tc={EA886A34-5BF4-4C28-9143-221A0C970F79}</author>
    <author>tc={D9C854D7-673F-448E-AC9B-D7159FA57CEF}</author>
  </authors>
  <commentList>
    <comment ref="D3" authorId="0" shapeId="0" xr:uid="{EA886A34-5BF4-4C28-9143-221A0C970F79}">
      <text>
        <t>[Threaded comment]
Your version of Excel allows you to read this threaded comment; however, any edits to it will get removed if the file is opened in a newer version of Excel. Learn more: https://go.microsoft.com/fwlink/?linkid=870924
Comment:
    Verbruik kantoor oppervlakte volgens BENG</t>
      </text>
    </comment>
    <comment ref="B7" authorId="1" shapeId="0" xr:uid="{D9C854D7-673F-448E-AC9B-D7159FA57CEF}">
      <text>
        <t>[Threaded comment]
Your version of Excel allows you to read this threaded comment; however, any edits to it will get removed if the file is opened in a newer version of Excel. Learn more: https://go.microsoft.com/fwlink/?linkid=870924
Comment:
    Kantoorruimte dak / 2 (indien gestapeld)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tc={1EA89683-6B67-4D50-ADB6-F0A75805337F}</author>
    <author>tc={543FCA0B-7C31-42F7-B75F-8E4BB4034F26}</author>
  </authors>
  <commentList>
    <comment ref="F4" authorId="0" shapeId="0" xr:uid="{1EA89683-6B67-4D50-ADB6-F0A75805337F}">
      <text>
        <t>[Threaded comment]
Your version of Excel allows you to read this threaded comment; however, any edits to it will get removed if the file is opened in a newer version of Excel. Learn more: https://go.microsoft.com/fwlink/?linkid=870924
Comment:
    50% vrachtwagens een snellader 200 KW</t>
      </text>
    </comment>
    <comment ref="H4" authorId="1" shapeId="0" xr:uid="{543FCA0B-7C31-42F7-B75F-8E4BB4034F26}">
      <text>
        <t>[Threaded comment]
Your version of Excel allows you to read this threaded comment; however, any edits to it will get removed if the file is opened in a newer version of Excel. Learn more: https://go.microsoft.com/fwlink/?linkid=870924
Comment:
    100% vrachtwagens een snellader 200 KW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tc={4BB8D61A-749E-4C71-9AC6-929C27D92827}</author>
    <author>tc={BC5DB127-5220-48C0-B8FD-F45DC3985614}</author>
    <author>tc={C30C395E-4FEE-44CE-85EF-220D6013CF50}</author>
    <author>tc={7BEC6822-45D7-4D07-8617-A27D8D329661}</author>
    <author>tc={47830F81-8D1F-4AEE-8B4D-85669EDC5477}</author>
    <author>tc={1A592525-1FB4-45D0-9E8C-39E742094C22}</author>
    <author>tc={2835926F-7D52-42FF-B0DE-FF7947A27E1D}</author>
    <author>tc={7FABC665-934C-4866-A399-1F5B5D0E6809}</author>
    <author>tc={55732FE9-AB0E-4876-BD99-829EE84C1DA7}</author>
    <author>tc={D269B65A-9381-4ED9-8CAA-E2916245073C}</author>
    <author>tc={6DE2A2C6-45AF-43DD-9FCA-D15E18DFA774}</author>
    <author>tc={793F3783-CCFB-4C87-9E65-2B7F2690E546}</author>
    <author>tc={ABBCF2BD-AAF0-474D-9786-FE57E4D2B0C1}</author>
    <author>tc={94DB6615-DC5D-4EC4-B399-B3DD91CFD735}</author>
    <author>tc={A9967915-0E68-4CAD-A5C2-944190ACE984}</author>
    <author>tc={6F68480C-1AF1-4D5F-AE9A-E3897B1AD40C}</author>
    <author>tc={836E3C8C-1204-4585-A2A2-D1A2C6B1A84E}</author>
  </authors>
  <commentList>
    <comment ref="E2" authorId="0" shapeId="0" xr:uid="{4BB8D61A-749E-4C71-9AC6-929C27D92827}">
      <text>
        <t>[Threaded comment]
Your version of Excel allows you to read this threaded comment; however, any edits to it will get removed if the file is opened in a newer version of Excel. Learn more: https://go.microsoft.com/fwlink/?linkid=870924
Comment:
    Inschatting van maatwerk extra 8 MW</t>
      </text>
    </comment>
    <comment ref="E3" authorId="1" shapeId="0" xr:uid="{BC5DB127-5220-48C0-B8FD-F45DC3985614}">
      <text>
        <t>[Threaded comment]
Your version of Excel allows you to read this threaded comment; however, any edits to it will get removed if the file is opened in a newer version of Excel. Learn more: https://go.microsoft.com/fwlink/?linkid=870924
Comment:
    Stroomtarief 15 cent per kWh; indien opwek gelijk is aan gebruik. Na 7,5 jaar gaat zonopwek renderen. 2,5 levert het geld op tijdens de looptijd van 10 jaar
Zie vuistregel 6</t>
      </text>
    </comment>
    <comment ref="F3" authorId="2" shapeId="0" xr:uid="{C30C395E-4FEE-44CE-85EF-220D6013CF50}">
      <text>
        <t>[Threaded comment]
Your version of Excel allows you to read this threaded comment; however, any edits to it will get removed if the file is opened in a newer version of Excel. Learn more: https://go.microsoft.com/fwlink/?linkid=870924
Comment:
    Aantal panelen mogelijk * kosten per paneel
Zie vuistregel 3</t>
      </text>
    </comment>
    <comment ref="G3" authorId="3" shapeId="0" xr:uid="{7BEC6822-45D7-4D07-8617-A27D8D329661}">
      <text>
        <t>[Threaded comment]
Your version of Excel allows you to read this threaded comment; however, any edits to it will get removed if the file is opened in a newer version of Excel. Learn more: https://go.microsoft.com/fwlink/?linkid=870924
Comment:
    Zie vuistregel 4</t>
      </text>
    </comment>
    <comment ref="H3" authorId="4" shapeId="0" xr:uid="{47830F81-8D1F-4AEE-8B4D-85669EDC5477}">
      <text>
        <t>[Threaded comment]
Your version of Excel allows you to read this threaded comment; however, any edits to it will get removed if the file is opened in a newer version of Excel. Learn more: https://go.microsoft.com/fwlink/?linkid=870924
Comment:
    Zie vuistregel 5</t>
      </text>
    </comment>
    <comment ref="J3" authorId="5" shapeId="0" xr:uid="{1A592525-1FB4-45D0-9E8C-39E742094C22}">
      <text>
        <t>[Threaded comment]
Your version of Excel allows you to read this threaded comment; however, any edits to it will get removed if the file is opened in a newer version of Excel. Learn more: https://go.microsoft.com/fwlink/?linkid=870924
Comment:
    Zie vuistregel 7</t>
      </text>
    </comment>
    <comment ref="L3" authorId="6" shapeId="0" xr:uid="{2835926F-7D52-42FF-B0DE-FF7947A27E1D}">
      <text>
        <t>[Threaded comment]
Your version of Excel allows you to read this threaded comment; however, any edits to it will get removed if the file is opened in a newer version of Excel. Learn more: https://go.microsoft.com/fwlink/?linkid=870924
Comment:
    naar rato kantoorruimte gemeente; inschatting 50 medewerkers</t>
      </text>
    </comment>
    <comment ref="E5" authorId="7" shapeId="0" xr:uid="{7FABC665-934C-4866-A399-1F5B5D0E6809}">
      <text>
        <t>[Threaded comment]
Your version of Excel allows you to read this threaded comment; however, any edits to it will get removed if the file is opened in a newer version of Excel. Learn more: https://go.microsoft.com/fwlink/?linkid=870924
Comment:
    Stroomtarief 15 cent per kWh; indien opwek gelijk is aan gebruik. Na 7,5 jaar gaat zonopwek renderen. 2,5 levert het geld op tijdens de looptijd van 10 jaar
Zie vuistregel 6</t>
      </text>
    </comment>
    <comment ref="F5" authorId="8" shapeId="0" xr:uid="{55732FE9-AB0E-4876-BD99-829EE84C1DA7}">
      <text>
        <t>[Threaded comment]
Your version of Excel allows you to read this threaded comment; however, any edits to it will get removed if the file is opened in a newer version of Excel. Learn more: https://go.microsoft.com/fwlink/?linkid=870924
Comment:
    Aantal panelen mogelijk * kosten per paneel
Zie vuistregel 3</t>
      </text>
    </comment>
    <comment ref="G5" authorId="9" shapeId="0" xr:uid="{D269B65A-9381-4ED9-8CAA-E2916245073C}">
      <text>
        <t>[Threaded comment]
Your version of Excel allows you to read this threaded comment; however, any edits to it will get removed if the file is opened in a newer version of Excel. Learn more: https://go.microsoft.com/fwlink/?linkid=870924
Comment:
    Zie vuistregel 4</t>
      </text>
    </comment>
    <comment ref="H5" authorId="10" shapeId="0" xr:uid="{6DE2A2C6-45AF-43DD-9FCA-D15E18DFA774}">
      <text>
        <t>[Threaded comment]
Your version of Excel allows you to read this threaded comment; however, any edits to it will get removed if the file is opened in a newer version of Excel. Learn more: https://go.microsoft.com/fwlink/?linkid=870924
Comment:
    Zie vuistregel 5</t>
      </text>
    </comment>
    <comment ref="J5" authorId="11" shapeId="0" xr:uid="{793F3783-CCFB-4C87-9E65-2B7F2690E546}">
      <text>
        <t>[Threaded comment]
Your version of Excel allows you to read this threaded comment; however, any edits to it will get removed if the file is opened in a newer version of Excel. Learn more: https://go.microsoft.com/fwlink/?linkid=870924
Comment:
    Zie vuistregel 7</t>
      </text>
    </comment>
    <comment ref="L5" authorId="12" shapeId="0" xr:uid="{ABBCF2BD-AAF0-474D-9786-FE57E4D2B0C1}">
      <text>
        <t>[Threaded comment]
Your version of Excel allows you to read this threaded comment; however, any edits to it will get removed if the file is opened in a newer version of Excel. Learn more: https://go.microsoft.com/fwlink/?linkid=870924
Comment:
    200 meter * 100 meter (Google maps); ruimte voor zon inschatting 50*25 m</t>
      </text>
    </comment>
    <comment ref="E6" authorId="13" shapeId="0" xr:uid="{94DB6615-DC5D-4EC4-B399-B3DD91CFD735}">
      <text>
        <t>[Threaded comment]
Your version of Excel allows you to read this threaded comment; however, any edits to it will get removed if the file is opened in a newer version of Excel. Learn more: https://go.microsoft.com/fwlink/?linkid=870924
Comment:
    9% besparing op stroomkosten bij BREEAM comfort niveau</t>
      </text>
    </comment>
    <comment ref="H6" authorId="14" shapeId="0" xr:uid="{A9967915-0E68-4CAD-A5C2-944190ACE984}">
      <text>
        <t>[Threaded comment]
Your version of Excel allows you to read this threaded comment; however, any edits to it will get removed if the file is opened in a newer version of Excel. Learn more: https://go.microsoft.com/fwlink/?linkid=870924
Comment:
    Zie vuistregel 5</t>
      </text>
    </comment>
    <comment ref="E7" authorId="15" shapeId="0" xr:uid="{6F68480C-1AF1-4D5F-AE9A-E3897B1AD40C}">
      <text>
        <t>[Threaded comment]
Your version of Excel allows you to read this threaded comment; however, any edits to it will get removed if the file is opened in a newer version of Excel. Learn more: https://go.microsoft.com/fwlink/?linkid=870924
Comment:
    Stel dat de meerkosten voor de gemeente voor een 6 MVA aansluiting worden gedeeld met de Provincie. Gemeente heeft nb 3 MVA nodig</t>
      </text>
    </comment>
    <comment ref="F7" authorId="16" shapeId="0" xr:uid="{836E3C8C-1204-4585-A2A2-D1A2C6B1A84E}">
      <text>
        <t>[Threaded comment]
Your version of Excel allows you to read this threaded comment; however, any edits to it will get removed if the file is opened in a newer version of Excel. Learn more: https://go.microsoft.com/fwlink/?linkid=870924
Comment:
    Kosten 50 uur afstemming. PS; modelovereenkomst MLOEA vanuit NVDE beschikbaar</t>
      </text>
    </comment>
  </commentList>
</comments>
</file>

<file path=xl/sharedStrings.xml><?xml version="1.0" encoding="utf-8"?>
<sst xmlns="http://schemas.openxmlformats.org/spreadsheetml/2006/main" count="558" uniqueCount="361">
  <si>
    <t xml:space="preserve">Verbruik </t>
  </si>
  <si>
    <t>Piekwaarde</t>
  </si>
  <si>
    <t>Verbruik</t>
  </si>
  <si>
    <t>Bus remise</t>
  </si>
  <si>
    <t>Gemeente wagenpark</t>
  </si>
  <si>
    <t>Gemeente kantoren</t>
  </si>
  <si>
    <t>Sligro</t>
  </si>
  <si>
    <t>Huisvesting Wonen Breburg</t>
  </si>
  <si>
    <t>Totaal</t>
  </si>
  <si>
    <t>*</t>
  </si>
  <si>
    <t>27-1 afstemming Paul. Huisvesting: 150 woningen*2500 kWh/ 1000. Voor de huisvesting van 3750 MWh vertaal ik dat naar ongeveer 1000 woningen met een verbruik van 3500 tot 4000kWh per huishouden per jaar.
Elk huis krijgt een 8kVA = 1x 35A aansluiting, maar door de ongelijkheid in belasting, enkele piekbelastingen en verder lage belasting (rond 10kWh per dag) dat is een gemiddelde van 450W, met een gemiddelde marge van 2x, of 3x zou dit neerkomen op een aansluiting op Middenspanningsniveau van 900kVA of 1350kVA.</t>
  </si>
  <si>
    <t>**</t>
  </si>
  <si>
    <t>27-`1 Afstemming Paul. Verbruik kantoren: 2877mm2 kantoor à 50kWh/m2 = 143,85 MWh per jaar, geeft een piek van 90 tot 100kVA dus een aansluitwaarde 3x 160A 400V
In het overzicht beneden heb ik voor het kantoor als continue bedrijf gerekend. Bij de piekwaarde van 293kVA hoort een verbruik van 500 MWh in plaats van 900MWh</t>
  </si>
  <si>
    <t>Om alle benodigde elektrische energie met zonnepanelen op te wekken zijn ongeveer 3 panelen van 350Wp</t>
  </si>
  <si>
    <t xml:space="preserve">per MWh energie nodig. Dus voor 2023 ruim 67.000 PV panelen. Voor 2025 ruim 95.000 PV panelen en </t>
  </si>
  <si>
    <t>voor 2030 meer dan 175.000 PV panelen.</t>
  </si>
  <si>
    <t>Als je niets doet, volgt het piekvermogen (= aansluitwaarde) de trend van de benodigde, stijgende hoeveelheid</t>
  </si>
  <si>
    <t>elektrische energie (Verbruik in MWh per jaar)</t>
  </si>
  <si>
    <t>Echter door niet alle energie door het openbare netwerk te laten lopen en vooral te zorgen dat bij de piekvraag</t>
  </si>
  <si>
    <t>deze niet via het openbare net hoeft te lopen, kan de netbelasting = maximale aansluitwaarde worden verlaagd.</t>
  </si>
  <si>
    <t xml:space="preserve">Dit kan worden gedaan door slim laden en daarmee verlagen van de pieken (verbruiksoptimalisatie) of door </t>
  </si>
  <si>
    <t>opslag van Zonne energie op momenten dat deze net nodig is en deze opgeslagen energie te gebruiken bij</t>
  </si>
  <si>
    <t>piekvragen (aanbod optimalisatie door tijdelijke opslag in batterijen)</t>
  </si>
  <si>
    <t>De opbrengst van PV panelen is afhankelijk van de plaats tov van de zon. Dit varieert al binnen Nederland,</t>
  </si>
  <si>
    <t>maar ook de hoek waaronder de zonnestralen worden gevangen ( de zgn tabel van Hespul).</t>
  </si>
  <si>
    <t>Daarnaast is de opbrengst seizoensafhankelijk.</t>
  </si>
  <si>
    <t xml:space="preserve">De plaats in Nederland is vast en de hoek waaronder de zonnestralen worden gevangen kan worden </t>
  </si>
  <si>
    <t>Kwartieropbrengst 1000 PV panelen gemeten in 2020</t>
  </si>
  <si>
    <t xml:space="preserve">geoptimaliseerd, maar de verdeling over de seizoenen blijft variabel. </t>
  </si>
  <si>
    <t>Het verbruik van elektriciteit is voor de meeste gebruikers in deze setting waarschijnlijk dagelijks hetzelfde,</t>
  </si>
  <si>
    <t>maar over de dag verspreidt wisselend (zie kwartiergebruik buslaadstation)</t>
  </si>
  <si>
    <t>Indien ook de de verwarming van gebouwen via warmtepompen elektrisch gedreven wordt, zal het energieverbruik</t>
  </si>
  <si>
    <t>niet alleen een dag/nacht ritme hebben, maar ook een seizoensgebonden ritme krijgen.</t>
  </si>
  <si>
    <t>Het energieverbruik voor vervoer (bussen en vrachtwagens) zal waarschijnlijk veel groter zijn dan het energie-</t>
  </si>
  <si>
    <t>verbruik voor verwarming, waardoor het dagelijkse ritme van het vervoer de voornaamste component in het</t>
  </si>
  <si>
    <t>energieverbruik zal blijven. Zowel in de zomer als in de winter.</t>
  </si>
  <si>
    <t>Het dag/nacht ritme zal in zonrijke periodes met een tijdelijk buffer (batterij) kunnen worden overbrugd. Het</t>
  </si>
  <si>
    <t>seizoensritme heeft een dusdanig grote tijdelijke opslag nodig (zomerse opwek bewaren voor de winter) dat</t>
  </si>
  <si>
    <t>Kwartiergebruik buslaadstation over 7 dagen, zonder rekening te houden met weekend</t>
  </si>
  <si>
    <t>de grootte van de batterij niet meer economisch haalbaar is. De grootte van de batterij voor overbrugging van</t>
  </si>
  <si>
    <t>het dag/nacht ritme zal bepaald moeten worden en dan kan bekeken worden of dit economisch haalbaar is.</t>
  </si>
  <si>
    <t>Uitgaande van een busdienstregeling die het hele jaar hetzelfde is, zal per maand 8,25% (1/12 van het jaar)</t>
  </si>
  <si>
    <t>aan energie nodig zijn, terwijl in januari slecht 3% van de PV opbrengst en in juni 13% wordt opgewekt.</t>
  </si>
  <si>
    <t>Gemiddelde Jaarroductie PV panelen, verdeeld over de maanden</t>
  </si>
  <si>
    <t>Voor januari zou je dus 8,25/3 = 2,75x zoveel PV panelen nodig hebben voor voldoende energie, maar dan zou je</t>
  </si>
  <si>
    <t>Het doel van de energietransitie is naast schoon ook betrouwbaar en betaalbaar en zeker voor deze laatste</t>
  </si>
  <si>
    <t>in juni 2,75*13/8,25 = 4,3 x zoveel energieopwekken dan noodzakelijk. Maar dat betekent ook 2,75 x 175000</t>
  </si>
  <si>
    <t>twee is nader onderzoek noodzakelijk. Door de tijd zullen oplossingen goedkoper worden, maar een bepaald</t>
  </si>
  <si>
    <t>is ruim 480.000 PV panelen. Die kun je nooit kwijt (240 voetbalvelden vol).</t>
  </si>
  <si>
    <t>niveau zal het nooit onderschreiden.</t>
  </si>
  <si>
    <t>Met een jaarverbruik van 31.500 MWh elektriciteit, betekent een dagverbruik van ruim 86 MWh. Met een onbalans</t>
  </si>
  <si>
    <t>Onderzoek zal nodig zijn naar een betere inschatting van het verbruik en de mogelijkheden om de onbalans</t>
  </si>
  <si>
    <t>tussen opwek en verbruik zal een opslag van de helft, of een kwart van deze energie in een batterij (tussen april</t>
  </si>
  <si>
    <t>te herstellen. Waterstof, Batterij, warmte opslag, extra flexibele verbruikers, etc.</t>
  </si>
  <si>
    <t>en september) een batterij van 20 tot 40MWh betekenen (de echte waarde zal uit simulatie berekeningen</t>
  </si>
  <si>
    <t>Daarnaast ook een optimale grootte van het zonnepark, zodat er optimaal gebruik kan worden gemaakt,</t>
  </si>
  <si>
    <t>moeten worden uitgerekend). Een batterij van 1MWh kost rond de €300.000,-- en is zo groot als een 40voets</t>
  </si>
  <si>
    <t>zonder energie weg te gooien, in combinatie met opslag en inkoop van energie.</t>
  </si>
  <si>
    <t>zeecontainer. Reken maar uit hoe groot een batterij van 20 of 40MWh groot is en kost. Dit zijn niet de oplossingen</t>
  </si>
  <si>
    <t>Nul op de meter zonder dat er aan het net kan worden teruggeleverd zal hoogstwaarschijnlijk niet mogelijk zijn.</t>
  </si>
  <si>
    <t>die de business sluitend maken.</t>
  </si>
  <si>
    <t>Aansluitvermogen:
Voor de 150 huisaansluitingen voor kleine tijdelijke huizen met een gemiddeld verbruik van 2500kWh per jaar wordt het piekvermogen per woning bepaald door de maximaal aan te sluiten verbruikers.
De grootste verbruikers zijn de wasmachine (2,5kW), de friteuse (3kW) en soms een koffiezet apparaat of ander huishoudapparaat. In totaal worden huishoudens met 1x35A = 8kVA of 3x 25A = 17,5kVA uitgerust.
De 1x35A (8kVA) is voor de meeste mensen voldoende, behalve als er een extra groot elektrisch fornuis wordt geplaatst met een aansluitwaarde van bijv. 10kW. Aangezien het uitgangspunt is dat op gas wordt gestookt en verwarmd is dus 8kVa per huishouden voldoende.
Bijgevoegd voorbeeld laat het vermogensverloop van een willekeurige dag van een huishouden (mijn huis) zien op een dag dat niet gewassen wordt.
Er zijn korte pieken bij het opstaan (koffie en thee zetten) en bij het bereiden van het avondeten. Het maximum van 8kW wordt hier bij lange na niet gehaald, maar moet wel beschikbaar zijn voor wassen, strijken en andere stroomslurpers.
Nu wassen en frituren niet alle mensen gelijker tijd, dus hoeft de 8kW per huishouden niet met 150 te worden vermenigvuldigd, maar kan een gelijktijdigheidsfactor worden gehanteerd. Het totale vermogen dat beschikbaar moet zijn voor de 150 kleine woningen is dus veel lager dan 150 x 8kVA. Eerder 10 tot 20% van deze waarde.</t>
  </si>
  <si>
    <t>CO2 uitstoot:
Volgens het IPPC is de gemiddelde uitstoot voor elektriciteit (okt 2020) in Nederland 397 gCO2eq/kWh gebaseerd op het feit dat in Nederland de elektriciteit voornamelijk uit gas, kolen en windturbines komt. Op windrijke dagen zakt de CO2-emissie naar 250g/kWh. Bij wind luwe werkdagen kan deze stijgen tot boven 500 g/kWh. Ook voor duurzame bronnen is volgens het IPCC de uitstoot niet nul, vanwege het produceren van de benodigde installaties en het onderhoud daarvan. Voor waterkracht 24 gCO2eq/kWh; voor wind 11 gCO2eq/kWh; voor zon 45 gCO2eq/kWh; voor biomassa 230 gCO2eq/kWh en voor nucleair 12 gCO2eq/kWh.
Door de toepassing van opwek van elektriciteit door zonnepanelen valt dus nog veel te bereiken. Nul op de meter is dus niet hetzelfde als nul CO2 uitstoot.</t>
  </si>
  <si>
    <t>BASELOAD OPWEK
in gebied (in kW)</t>
  </si>
  <si>
    <t>Partij</t>
  </si>
  <si>
    <t>Busremise</t>
  </si>
  <si>
    <t>Gemeente gebouwen</t>
  </si>
  <si>
    <t xml:space="preserve">Sligro </t>
  </si>
  <si>
    <t>Konings drinks</t>
  </si>
  <si>
    <r>
      <rPr>
        <b/>
        <sz val="14"/>
        <color rgb="FF7030A0"/>
        <rFont val="Arial"/>
        <family val="2"/>
      </rPr>
      <t>SCENARIO 1A</t>
    </r>
    <r>
      <rPr>
        <b/>
        <sz val="14"/>
        <color theme="1"/>
        <rFont val="Arial"/>
        <family val="2"/>
      </rPr>
      <t xml:space="preserve">
INSCHATTING 
</t>
    </r>
    <r>
      <rPr>
        <b/>
        <u/>
        <sz val="14"/>
        <color theme="1"/>
        <rFont val="Arial"/>
        <family val="2"/>
      </rPr>
      <t>EXTRA</t>
    </r>
    <r>
      <rPr>
        <b/>
        <sz val="14"/>
        <color theme="1"/>
        <rFont val="Arial"/>
        <family val="2"/>
      </rPr>
      <t xml:space="preserve"> Vermogensvraag in kW</t>
    </r>
  </si>
  <si>
    <t>Dag profiel</t>
  </si>
  <si>
    <t>Nacht profiel</t>
  </si>
  <si>
    <t>Verbruikprofiel dag</t>
  </si>
  <si>
    <t>Verbruiksprofiel nacht</t>
  </si>
  <si>
    <t>Bijladen</t>
  </si>
  <si>
    <t>Laden</t>
  </si>
  <si>
    <t>Kantoor</t>
  </si>
  <si>
    <t>TOTAAL</t>
  </si>
  <si>
    <r>
      <rPr>
        <b/>
        <sz val="14"/>
        <color rgb="FF7030A0"/>
        <rFont val="Arial"/>
        <family val="2"/>
      </rPr>
      <t>SCENARIO 1B</t>
    </r>
    <r>
      <rPr>
        <b/>
        <sz val="14"/>
        <color theme="1"/>
        <rFont val="Arial"/>
        <family val="2"/>
      </rPr>
      <t xml:space="preserve">
INSCHATTING 
</t>
    </r>
    <r>
      <rPr>
        <b/>
        <u/>
        <sz val="14"/>
        <color theme="1"/>
        <rFont val="Arial"/>
        <family val="2"/>
      </rPr>
      <t>EXTRA</t>
    </r>
    <r>
      <rPr>
        <b/>
        <sz val="14"/>
        <color theme="1"/>
        <rFont val="Arial"/>
        <family val="2"/>
      </rPr>
      <t xml:space="preserve"> Vermogensvraag in kW</t>
    </r>
  </si>
  <si>
    <t>Productie</t>
  </si>
  <si>
    <t>Geen extra productie</t>
  </si>
  <si>
    <t>EV</t>
  </si>
  <si>
    <r>
      <rPr>
        <b/>
        <u/>
        <sz val="14"/>
        <color rgb="FF7030A0"/>
        <rFont val="Arial"/>
        <family val="2"/>
      </rPr>
      <t>SCENARIO 2</t>
    </r>
    <r>
      <rPr>
        <b/>
        <u/>
        <sz val="14"/>
        <color theme="1"/>
        <rFont val="Arial"/>
        <family val="2"/>
      </rPr>
      <t xml:space="preserve">
EXTRA </t>
    </r>
    <r>
      <rPr>
        <b/>
        <sz val="14"/>
        <color theme="1"/>
        <rFont val="Arial"/>
        <family val="2"/>
      </rPr>
      <t>Vermogensvraag in kW</t>
    </r>
  </si>
  <si>
    <t>Geen</t>
  </si>
  <si>
    <t xml:space="preserve">Elektrificatie productie* </t>
  </si>
  <si>
    <t>Vanaf 2024 ook 's nachts productie</t>
  </si>
  <si>
    <t>BUSREMISE</t>
  </si>
  <si>
    <t>Verbruik in KW Piek</t>
  </si>
  <si>
    <t>Dag</t>
  </si>
  <si>
    <t>Nacht</t>
  </si>
  <si>
    <t>66 bussen in 2023</t>
  </si>
  <si>
    <t>125 bussen in 2025</t>
  </si>
  <si>
    <t>Min 155 bussen in 2030</t>
  </si>
  <si>
    <t>Max 188 bussen in 2030</t>
  </si>
  <si>
    <t>Verbruik in kWh</t>
  </si>
  <si>
    <t>Opwek</t>
  </si>
  <si>
    <t>kWh</t>
  </si>
  <si>
    <t>M2 zon</t>
  </si>
  <si>
    <t>S3 minimaal - kantoor eigen gebruik (inschatting kantooropp)</t>
  </si>
  <si>
    <t>S2 medium</t>
  </si>
  <si>
    <t>S1 maximaal - alle daken en solar carport voor parkeergedeelte</t>
  </si>
  <si>
    <t>Aansluiting</t>
  </si>
  <si>
    <t>Huidig 250 kva</t>
  </si>
  <si>
    <t>Cjifers op 66 bussen gebaseerd met ieder eigen lader, geextrapoleerd naar 188 (&gt;10 MW); aanname alles boven 10 MW wegregelen met gelijktijdigheid oplossingen (Stevin)</t>
  </si>
  <si>
    <t>Vervoerders die elektrisch gaan rijden kunnen gebruik maken van emissie rechten systeem ; hierin kunnen ze handelen, deze verkopen ; business model (Stevin)</t>
  </si>
  <si>
    <t>Kan alleen op zuivere aansluiting van vervoerders! (Stevin)</t>
  </si>
  <si>
    <t>Wettelijk</t>
  </si>
  <si>
    <t>In 2025: Green deal - 50% nieuwverkopen stekker, 15% volledig elektrisch</t>
  </si>
  <si>
    <t>Ambities</t>
  </si>
  <si>
    <t>Ambitie Brabant zero emissie 2025, landelijk 2030</t>
  </si>
  <si>
    <t>Geen plannen opwek; mag niet terugleveren naar het net en mismatch energieprofiel</t>
  </si>
  <si>
    <t>Aanname</t>
  </si>
  <si>
    <t>Mogelijk bussen meer efficient in de toekomst</t>
  </si>
  <si>
    <t>O.b.v. referentiecase Eindhoven - 104 laadplekken voor 125 E-bussen- aanname:
- 25 snellaadplekken
- 100 plekken voor nachtladers</t>
  </si>
  <si>
    <t>450 kW vermogen snellader, 60 kW nachtlader</t>
  </si>
  <si>
    <t xml:space="preserve"> Aanname in 2023 overdag 3 snellaadplekken en in 2025 overdag 6 snellaadplekken</t>
  </si>
  <si>
    <t>Bron gemeente Breda of bron inschatting o.b.v. busremise Eindhoven</t>
  </si>
  <si>
    <t>Rekening houden met gelijktijdigheid!! Maatregelen voorkomen pieken</t>
  </si>
  <si>
    <t>Inschatting verbruik ontwikkeling in de tijd, rekening houdend met groei elektrische vervoer</t>
  </si>
  <si>
    <t>Feedback Pierre van Driel</t>
  </si>
  <si>
    <t>Bron:</t>
  </si>
  <si>
    <t>VERTROUWELIJK 210922 Uitgangspunten bussen remise Breda Druivenstraat</t>
  </si>
  <si>
    <t>Zero Emissie transitie Breda 22-03-2021</t>
  </si>
  <si>
    <t>NB</t>
  </si>
  <si>
    <t>1. Uit de bron met de uitgangspunten bussen is het verbruik niet goed te halen</t>
  </si>
  <si>
    <t>2. Inschatting maken hoeveel overdag bijladen. Zie ook onderstaande link van Jurgen</t>
  </si>
  <si>
    <t>https://www.postiljon.nl/nieuws/algemeen/99178/nieuwe-elektrische-bussen-in-zoetermeer-</t>
  </si>
  <si>
    <t>3. In 2023 aanbesteding, die start in 2025. Uitvraag 100% zero emissie</t>
  </si>
  <si>
    <t>GEMEENTEWERF</t>
  </si>
  <si>
    <t>17 hybride vrachtwagen</t>
  </si>
  <si>
    <t>Bijladen?</t>
  </si>
  <si>
    <t>2 waterstof vrachtwagens</t>
  </si>
  <si>
    <t>Overzicht gemeente vervoer</t>
  </si>
  <si>
    <t>Bus: 2</t>
  </si>
  <si>
    <t>Auto: 1</t>
  </si>
  <si>
    <t>Vrachtauto's : 63, waarvan 17 hybride</t>
  </si>
  <si>
    <t>AHW (afval haal wagen): 3 (2 waterstof, aanname 3e ook waterstof)</t>
  </si>
  <si>
    <t>Piekvermogen KW</t>
  </si>
  <si>
    <t>Huidig 250 KVA</t>
  </si>
  <si>
    <t>Convenant
Duurzame
Voertuigen en
Brandstoffen in de
Reinigingsbranche - voorbeeld rol voor gemeente staat genoemd in convenant bij CO2 emissie en om klimaatverandering tegen te gaan</t>
  </si>
  <si>
    <t>2025: nieuw aan te schaffen
voertuigen op Duurzame
brandstof of Zero Emissie.
Bestaande voertuigen waar
mogelijk met duurzame dropin-fue</t>
  </si>
  <si>
    <t>2030: nieuw aan te schaffen
voertuigen Zero Emissie.
Conventionele voertuigen
uitfaseren.</t>
  </si>
  <si>
    <t>2035 - 2040: alle voertuigen
Zero Emissie.</t>
  </si>
  <si>
    <t>150 KW piekvermogen snel lader elektrische vrachtwagen (Dieter Bos)</t>
  </si>
  <si>
    <t>NB: Rekening houden met gelijktijdigheid. Dus niet vermogen van lader * aantal vrachtwagens; ze laden niet allemaal tegelijkertijd..</t>
  </si>
  <si>
    <t>Mail Wouter van Dijk</t>
  </si>
  <si>
    <t>Overzicht voertuigen per afdeling en m2</t>
  </si>
  <si>
    <t>https://www.nvde.nl/nvdeblogs/brede-coalitie-pleit-voor-zakelijke-personenautos-zonder-co2-uitstoot-vanaf-2025/</t>
  </si>
  <si>
    <t>Brede coalisatie pleit voor zakelijke personenauto's zonder CO2 uitstoot vanaf 2025</t>
  </si>
  <si>
    <t>t.a.v. elektra heb ik het volgendevontvangen:</t>
  </si>
  <si>
    <t>Over de spanning aan de slingerweg is het transport laag in de nacht dat heeft te maken met de tijdklokken die er tussen zitten voor het laden van de voertuigen dat we alles ineens laat aan gaan.</t>
  </si>
  <si>
    <t>Transport normaal is overdag  daar zit een stuk voertuigen bij  maar nog geen waterstof voertuigen  dan zie je eigenlijk dat we nog de laagste kolom transport gemeten een klein beetje over hebben voor dat we aan de 144 kWh gezekerd aan straat 250 ampère  zitten dat is de max die hier hebben  dat is ook het contract vermogen.</t>
  </si>
  <si>
    <t>Dus extra voertuigen zal niet passen in stroom maar ook niet meer in de meterkast</t>
  </si>
  <si>
    <t>T.a.v. het beleid duurzaamheid wagenpark heb ik uiteindelijk vanochtend reactie gekregen dat het nog niet gedeeld mag worden. Helaas kan ik dus niet verder berichten als; Breda heeft het convenant duurzame voertuigen en brandstoffen reinigingsbranche getekend. Mogelijk dat dit je wat richting kan geven, die staat openbaar op internet.</t>
  </si>
  <si>
    <t>GEMEENTELIJKE GEBOUWEN</t>
  </si>
  <si>
    <t>Kantoorruimte</t>
  </si>
  <si>
    <t>Paul, van kwh naar KW piek inschatting??</t>
  </si>
  <si>
    <t>S3 minimaal - kantoor eigen gebruik</t>
  </si>
  <si>
    <t>S2 medium - alle daken</t>
  </si>
  <si>
    <t>?</t>
  </si>
  <si>
    <t>BENG normen</t>
  </si>
  <si>
    <t xml:space="preserve">Voorstellen BREEAM keurmerk: dit richt zich op efficiënt grondstoffengebruik en circulariteit </t>
  </si>
  <si>
    <t>De maximale energiebehoefte in kWh per m2 gebruiksoppervlak per jaar cf BENG 1, kantoorgebouw &gt;100 m2 BVO, is 50 kWh per m2</t>
  </si>
  <si>
    <t>https://www.vereniging-bwt.nl/werkgroep-gezondheid-en-energiezuinigheid/nieuws/2019/1/beng-vanaf-1-1-2020</t>
  </si>
  <si>
    <t>Van kWh per m2 naar KW piek t.b.v. bepalen benodigde vermogen - rekening houdend met kantoortijden van 8.00-17.00, is 2.040 uur</t>
  </si>
  <si>
    <t>Vuistregel (Paul Hoorens): Op 10.000 m2 dak , 1.300 MWh opwek  mogelijk. Per 100 m2 dak 13.000 kWh</t>
  </si>
  <si>
    <t>Per 7,5 m2 zon levert 1 kW Piek op</t>
  </si>
  <si>
    <t xml:space="preserve">NB: Bij Energie Potentieel Scan wordt niet gekeken naar sec bruto dakoppervlakte, maar er wordt een percentage van 40% gehanteerd, wat geschikt zou zijn voor opwek van zonne-energie.  -	Op 10.000 m2 dak , </t>
  </si>
  <si>
    <t>Bron: Poho Verbeter Breda</t>
  </si>
  <si>
    <t>functie</t>
  </si>
  <si>
    <t>hoeveel</t>
  </si>
  <si>
    <t>uitgangspunt</t>
  </si>
  <si>
    <t>rekenmethode</t>
  </si>
  <si>
    <t>kantoorruimte (+/-930 medewerkers)</t>
  </si>
  <si>
    <t>kengetallen</t>
  </si>
  <si>
    <t>rekenmodel Servicecentrum (50% activiteit gericht werken) Uitgegaan van gezamenlijke huisvesting</t>
  </si>
  <si>
    <t>parkeren medewerkers/bezoekers kantoor</t>
  </si>
  <si>
    <t xml:space="preserve">kengetallen </t>
  </si>
  <si>
    <t>0,3 per medewerker / incl. manouvreerruimte</t>
  </si>
  <si>
    <t>stalling voertuigen / opslag gereedschap/werkplaats (loods)</t>
  </si>
  <si>
    <t>op basis van afmetingen voertuigen huidige wagenpark / incl manouvreerruimte</t>
  </si>
  <si>
    <t>Opslag en productieruimte buiten</t>
  </si>
  <si>
    <t xml:space="preserve">op basis van huidige omvang: afname vanwege delen ruimte </t>
  </si>
  <si>
    <t xml:space="preserve">10% afname Uitvoering / 5% afname AVS. Afdeling Werk huidig gebruik. </t>
  </si>
  <si>
    <t>productieruimte/ opslag goederen en grondstoffen (loods)</t>
  </si>
  <si>
    <t>op basis van huidige omvang: toename vanwege demontage/nascheiding/ambachten</t>
  </si>
  <si>
    <t>uitbreiding van +- 2.000 m2 opgenomen</t>
  </si>
  <si>
    <t>parkeerruimte bezoekers Vindingrijk</t>
  </si>
  <si>
    <t>handreiking parkeernormen/ kringloopwinkel</t>
  </si>
  <si>
    <t>Milieustraat 1</t>
  </si>
  <si>
    <t>op  basis van huidige omvang + noodzakelijke extra meters</t>
  </si>
  <si>
    <t xml:space="preserve">inschatting n.a.v. beleidsplan. Huidige omvang perceel milieustraat is 7.874 (exclusief toegangsweg). </t>
  </si>
  <si>
    <t>Milieustraat 2</t>
  </si>
  <si>
    <t>op basis van huidige omvang + extra meters</t>
  </si>
  <si>
    <t xml:space="preserve">inschatting n.a.v. beleidsplan. Huidige omvang perceel milieustraat is 3.750 (exclusief toegangsweg). </t>
  </si>
  <si>
    <t xml:space="preserve">Groen op en overslag </t>
  </si>
  <si>
    <t>Huidige voorziening + 1.200 extra m2</t>
  </si>
  <si>
    <t>Inschatting n.a.v. beleidsplan. Huidige omvang perceel milieustraat is 8.783 (exclusief toegangsweg)</t>
  </si>
  <si>
    <t>SLIGRO</t>
  </si>
  <si>
    <t>Elektrisch Vervoer (5 vrachtwagen in 2025, 50-60 vrachtwagen in 2030)</t>
  </si>
  <si>
    <t xml:space="preserve">In bezit BREEAM keurmerk: dit richt zich op efficiënt grondstoffengebruik en circulariteit </t>
  </si>
  <si>
    <t xml:space="preserve">Ambitie is zelfvoorzienend zijn. Pand BREEAN 5 ster + zonnepanelen + leveren 1 MW terug aan het net 
</t>
  </si>
  <si>
    <t xml:space="preserve">
2030 50% CO2 uitstoot per euro omzet verlagen t.o.v. 2010.</t>
  </si>
  <si>
    <t>200 kw snelladers voor overdag laden (DB) - weinig in de nacht</t>
  </si>
  <si>
    <t>Convenant Zero emissie geldt (DB)!</t>
  </si>
  <si>
    <t>150 KW lader elektrische vrachtwagens; ook nachtlader met minder vermogen?]</t>
  </si>
  <si>
    <t>In beeld brengen verbruik met elektrisch laden in de toekomst</t>
  </si>
  <si>
    <t>Cijfers</t>
  </si>
  <si>
    <t>Inschatting Sligro 5 elektrische vrachtwagen  in 2025</t>
  </si>
  <si>
    <t>Inschatting Sligro 50-60 vrachtwagen in 2030</t>
  </si>
  <si>
    <t>Ipv elektrisch vervoer plannen zou waterstof ook kunnen</t>
  </si>
  <si>
    <t>Check aansluiting kw vermogen + specificaties gebied</t>
  </si>
  <si>
    <t>KONINGS DRINKS</t>
  </si>
  <si>
    <t>Stoomketel vervanging (vb e-boiler)</t>
  </si>
  <si>
    <t>Van gas naar elektra</t>
  </si>
  <si>
    <t>Nu alleen daluren productie</t>
  </si>
  <si>
    <t>Ook in nachturen productie</t>
  </si>
  <si>
    <t>Opwek KWP</t>
  </si>
  <si>
    <t>Omvormer vermogen: 960.000KW</t>
  </si>
  <si>
    <t>Aansluiting kVA</t>
  </si>
  <si>
    <t>Hoe gas installaties af te bouwen is nog niet duidelijk. Ook niet of keuze gemaakt wordt voor elektra of voor gas (groen gas/ waterstof). Visie in Q1 2022.</t>
  </si>
  <si>
    <r>
      <t>25.000 m</t>
    </r>
    <r>
      <rPr>
        <vertAlign val="superscript"/>
        <sz val="11"/>
        <color theme="4"/>
        <rFont val="Calibri"/>
        <family val="2"/>
      </rPr>
      <t>3</t>
    </r>
    <r>
      <rPr>
        <sz val="11"/>
        <color theme="4"/>
        <rFont val="Calibri"/>
        <family val="2"/>
      </rPr>
      <t xml:space="preserve"> gas komt overeen met 244.225 kWh warmte (NVDE)</t>
    </r>
  </si>
  <si>
    <t>Nb: elektrische verwarming is 3x zo effectief als met gas (PH)</t>
  </si>
  <si>
    <t>Van gas naar elektra : 855,000 m3 gas = 8.352.495 kWh warmte</t>
  </si>
  <si>
    <t>NB: processen op hete stoom; dan opnieuw vormgeven van processen met ander type meer efficient energieverbruik (-50%) (PH)</t>
  </si>
  <si>
    <t>2040 uur draaien productieprocessen van 8.00-17-00</t>
  </si>
  <si>
    <t>Dit zal zijn tussen de 1.500- 2.000 KW (PH)</t>
  </si>
  <si>
    <t>1 m3 gas is 9,769 kWh (PH)</t>
  </si>
  <si>
    <t>Van Gas naar Elektra betekent minimaal 4.000 KW (tijdens kantooruren) en max 8.500 kW (24/ 7)</t>
  </si>
  <si>
    <t>Productie groei + 25% per jaar</t>
  </si>
  <si>
    <t>Over 2 jaar ook productie in de nacht</t>
  </si>
  <si>
    <t>https://acc-www.pbl.nl/sites/default/files/downloads/pbl-2019-conceptadvies-SDE-plus-plus-industriele-elektrische-boilers_3744.pdf</t>
  </si>
  <si>
    <t>Elektrische stoomboilers vermogen tot 5 Mwe</t>
  </si>
  <si>
    <t>CURIO</t>
  </si>
  <si>
    <t>NB:</t>
  </si>
  <si>
    <t xml:space="preserve">Jeroen Koijen van gemeente Breda neemt contact op met Tilo Machelse over duurzaamheidsplannen in relatie tot nieuwbouw plannen </t>
  </si>
  <si>
    <t>WONEN BREBURG</t>
  </si>
  <si>
    <t>150 woningen (tussen Frankenthalerstraat en Parallelweg) voor spoedzoekers</t>
  </si>
  <si>
    <t>Geen BENG normering tijdelijke huisvesting</t>
  </si>
  <si>
    <t>Tijdelijke bouw is een uitzonderingsgeval op de BENG norm: https://www.feltz.nl/nl/actueel/blogs/833/-ka-beng...-treedt-per-1-januari-2021-in-werking-toch-nog-met-een-energieke-knaller-het-jaar-uit.html</t>
  </si>
  <si>
    <t>Gemeente er op attent gemaakt dat vanwege tijdelijke huisvesting geen BENG normering geldt en er nog geen duurzaamheidsambities zijn</t>
  </si>
  <si>
    <t>Specificaties moeten bepaald worden voor de aanbesteding begin 2022. Dus ook voor PV, EV (auto's , scooters). 2023 oplevering</t>
  </si>
  <si>
    <t>Ciska contact Tom van der Horst:
Als gemeente zijn wij van mening dat de tijdelijke woningen uitgevoerd zouden moeten worden volgens de nieuwbouw eisen in verband met energie-armoede. De aansluiting van stadsverwarming is niet wenselijk en mogelijk ook niet mogelijk in verband met de TO Juli eis.</t>
  </si>
  <si>
    <t>Scenario</t>
  </si>
  <si>
    <t>Maatregelen</t>
  </si>
  <si>
    <t>Impact 1</t>
  </si>
  <si>
    <t>Impact 2</t>
  </si>
  <si>
    <t>Inschatting besparing in € over looptijd 10 jaar</t>
  </si>
  <si>
    <t>Inschatting netto kosten in €</t>
  </si>
  <si>
    <t>TVT gemiddeld</t>
  </si>
  <si>
    <t>Inschatting CO reductie over looptijd 10 jaar</t>
  </si>
  <si>
    <t>Besparing overig</t>
  </si>
  <si>
    <t>Inschatting verbruik in kWh voor BENG/ kantoor</t>
  </si>
  <si>
    <t>Stroom kosten verbruik in euro</t>
  </si>
  <si>
    <t>Zon opwek m2</t>
  </si>
  <si>
    <t>kWh opwek per jaar</t>
  </si>
  <si>
    <t>Toelichting</t>
  </si>
  <si>
    <t>S3 Busremise</t>
  </si>
  <si>
    <t>Kleinere netaansluiting met smart charging</t>
  </si>
  <si>
    <t>Aansluiting grootte minus 13% tot 48% door smart charging ; besparing op piekvermogen (referentieproject)</t>
  </si>
  <si>
    <t>Geen 3e kabel nodig (18 MW)</t>
  </si>
  <si>
    <t>Geen reductie als energie niet van PV komt via batterij</t>
  </si>
  <si>
    <r>
      <t xml:space="preserve">PV Opwek </t>
    </r>
    <r>
      <rPr>
        <sz val="10"/>
        <color rgb="FFFF0000"/>
        <rFont val="Arial"/>
        <family val="2"/>
      </rPr>
      <t>afgestemd op eigen gebruik van de kantoren</t>
    </r>
  </si>
  <si>
    <r>
      <t xml:space="preserve">Gebouwen moeten </t>
    </r>
    <r>
      <rPr>
        <sz val="10"/>
        <color rgb="FFFF0000"/>
        <rFont val="Arial"/>
        <family val="2"/>
      </rPr>
      <t xml:space="preserve">energieneutraal (0 op de meter? ) </t>
    </r>
    <r>
      <rPr>
        <sz val="10"/>
        <color theme="1"/>
        <rFont val="Arial"/>
        <family val="2"/>
      </rPr>
      <t>worden gebouwd, volgens de Provincie</t>
    </r>
  </si>
  <si>
    <t>Na gemiddeld 7,5 jaar gaat zonneopwek renderen</t>
  </si>
  <si>
    <t>7,5 jaar</t>
  </si>
  <si>
    <r>
      <t xml:space="preserve">Remise is open ruimte, geen dak, brandveiligheidsaspect/ brandgevoelige objecten. Wel zon op kantoren. Teveel aan zon kan worden ingezet voor het verbruik van de bussen
</t>
    </r>
    <r>
      <rPr>
        <b/>
        <sz val="10"/>
        <color rgb="FFFF0000"/>
        <rFont val="Arial"/>
        <family val="2"/>
      </rPr>
      <t>NB: geen plattegrond busremise en kantoren en geen m2</t>
    </r>
  </si>
  <si>
    <t>S2 Busremise</t>
  </si>
  <si>
    <t>PV Opwek op dak</t>
  </si>
  <si>
    <t>Gebouwen moeten energieneutraal worden gebouwd, volgens de Provincie</t>
  </si>
  <si>
    <t>Na gemiddeld 7,5 gaat zonneopwek renderen</t>
  </si>
  <si>
    <t>BREEAM certificering gebouwen (BREEAM budget niveau)</t>
  </si>
  <si>
    <t xml:space="preserve">Extra investeringskosten per bvo (bruto vloer oppervlak) </t>
  </si>
  <si>
    <t>Zie voordelen BREEAM</t>
  </si>
  <si>
    <r>
      <t xml:space="preserve">Koppeling energieprofiel busremise aan gemeentelijke uitvoeringsorganisaties. </t>
    </r>
    <r>
      <rPr>
        <sz val="10"/>
        <color rgb="FFFF0000"/>
        <rFont val="Arial"/>
        <family val="2"/>
      </rPr>
      <t>Gelijk aan directe lijn!</t>
    </r>
  </si>
  <si>
    <t>Optimale inzet duurzame energie</t>
  </si>
  <si>
    <t>Besparing agv een directe lijn tussen Provincie en gemeente</t>
  </si>
  <si>
    <t>check zon gemeente</t>
  </si>
  <si>
    <t>Overlast; kabels trekken/ grond open</t>
  </si>
  <si>
    <t>opwek-verbruiksprofiel gemeente en provincie - optimale zon inzet; inschatting 30%?</t>
  </si>
  <si>
    <t>S1 Busremise</t>
  </si>
  <si>
    <t>- Grootschalige energie opwek
   - PV op dak t.b.v. laden bussen
   - Solar carport t.b.v. laden bussen
   - PowerNEST t.b.v. laden bussen</t>
  </si>
  <si>
    <t>Buffering
   - WKO t.b.v. gebouwen
   - Batterij t.b.v. balancering pieken</t>
  </si>
  <si>
    <r>
      <t xml:space="preserve">BREEAM certificering gebouwen, </t>
    </r>
    <r>
      <rPr>
        <sz val="10"/>
        <color rgb="FFFF0000"/>
        <rFont val="Arial"/>
        <family val="2"/>
      </rPr>
      <t>hoogste niveau</t>
    </r>
  </si>
  <si>
    <t>Directe lijn bus - gemeente
    -  Koppeling energieprofielen busremise &amp; gemeentewerf
   - Incl. gedeelde netaansluiting</t>
  </si>
  <si>
    <t>Kleinere netaansluiting door Smart Charging</t>
  </si>
  <si>
    <t>S3 Gemeente</t>
  </si>
  <si>
    <t>- Elektrificatie wagenpark
   - incl. benodigde aansluiting</t>
  </si>
  <si>
    <t xml:space="preserve"> PV Opwek afgestemd op eigen gebruik
   - gebouwen
   - Laden wagenpark</t>
  </si>
  <si>
    <t>S2 Gemeente</t>
  </si>
  <si>
    <t xml:space="preserve">- PV opwek op dak
</t>
  </si>
  <si>
    <t xml:space="preserve">BREEAM certificering gebouwen
</t>
  </si>
  <si>
    <t xml:space="preserve">Elektrificatie wagenpark
</t>
  </si>
  <si>
    <t>Koppeling energieprofielen busremise &amp; gemeentewerf</t>
  </si>
  <si>
    <t>S1 Gemeente</t>
  </si>
  <si>
    <t>- Grootschalige energie opwek
   - PV op dak t.b.v. laden wagenpark
   - Solar carport t.b.v. laden wagenpark
   - PowerNEST t.b.v. laden wagenpark</t>
  </si>
  <si>
    <t>Buffering
   - WKO t.b.v. kantoren &amp; loodsen
   - Batterij t.b.v. balancering pieken (panden &amp; wagenpark)</t>
  </si>
  <si>
    <t>BREEAM certificering gebouwen, hoogste niveau</t>
  </si>
  <si>
    <t>Koppeling energieprofielen busremise &amp; gemeentewerf
   - Incl. gedeelde netaansluiting</t>
  </si>
  <si>
    <t>S3 Sligro</t>
  </si>
  <si>
    <t>S2 Sligro</t>
  </si>
  <si>
    <t>Laden van vrachtwagens op Gemeentewerf</t>
  </si>
  <si>
    <t>S1 Sligro</t>
  </si>
  <si>
    <t>'- Laden van vrachtwagens op Gemeentewerf</t>
  </si>
  <si>
    <t>Bufferen met Batterij t.b.v. energielevering voor Laden vrachtwagens</t>
  </si>
  <si>
    <t>S3 Curio</t>
  </si>
  <si>
    <t>- Verduurzamingsmaatregelen bestaande bouw met korte terugverdientijd
   - LED verlichting
   - PV installatie
   - Warmtepomp
   - Isolatie
   - Beglazing
   - WTW ventilatie</t>
  </si>
  <si>
    <t>`S2 Curio</t>
  </si>
  <si>
    <t>S1 Curio</t>
  </si>
  <si>
    <t xml:space="preserve">- Verduurzamingsmaatregelen bestaande bouw met korte terugverdientijd
   - LED verlichting
   - PV installatie
   - Warmtepomp
   - Isolatie
   - Beglazing
   - WTW ventilatie
</t>
  </si>
  <si>
    <t>Nieuwbouw met BREEAM certificering</t>
  </si>
  <si>
    <t>S3 Wonen breburg</t>
  </si>
  <si>
    <t>- Voldoen aan "Beng light"
   - Minimale PV opwek
   - Gasloos koken
   - LED verlichting
   - Beglazing</t>
  </si>
  <si>
    <t>S2 Wonen breburg</t>
  </si>
  <si>
    <t>- Voldoen aan "Beng light"
   - Minimale PV opwek
   - Gasloos koken
   - LED verlichting</t>
  </si>
  <si>
    <t>S1 Wonen breburg</t>
  </si>
  <si>
    <t>- Langere levensduur van woningen voor renderen van verduurzamingsmaatregelen
   - LED verlichting
   - PV installatie
   - Warmtepomp
   - Isolatie
   - Beglazing
   - WTW ventilatie</t>
  </si>
  <si>
    <t>No</t>
  </si>
  <si>
    <t>Vuistregels</t>
  </si>
  <si>
    <t>Onderwerp</t>
  </si>
  <si>
    <t>Bron</t>
  </si>
  <si>
    <t>Op 10.000 m2 dak , 1.300 MWh opwek  mogelijk per jaar</t>
  </si>
  <si>
    <t>Intern</t>
  </si>
  <si>
    <t xml:space="preserve"> Een paneel is gemiddeld 2,5 m2 groot. Wanneer uw dak 10 m2 is, kunt u hierop ongeveer 4 panelen plaatsen.</t>
  </si>
  <si>
    <t>Panelen</t>
  </si>
  <si>
    <t>https://www.asndokkum.nl/hoeveel-zonnepanelen-op-plat-dak/#:~:text=Hoeveel%20zonnepanelen%20per%20m2%20plat,hierop%20ongeveer%204%20panelen%20plaatsen.</t>
  </si>
  <si>
    <t>Kosten van 10 panelen zijn 5.400 euro bruto/ 4.500 netto</t>
  </si>
  <si>
    <t>Kosten paneel</t>
  </si>
  <si>
    <t>https://www.milieucentraal.nl/energie-besparen/zonnepanelen/kosten-en-opbrengst-zonnepanelen/</t>
  </si>
  <si>
    <t>Terugverdientijd zonnepanelen is 7,5 jaar</t>
  </si>
  <si>
    <t>TVT paneel</t>
  </si>
  <si>
    <t>https://www.essent.nl/kennisbank/zonnepanelen/wat-zijn-de-voordelen-van-zonnepanelen/terugverdientijd-zonnepanelen</t>
  </si>
  <si>
    <r>
      <t>De emissiefactor van grijze stroom is 0,649 kg </t>
    </r>
    <r>
      <rPr>
        <b/>
        <sz val="10"/>
        <color rgb="FF202124"/>
        <rFont val="Arial"/>
        <family val="2"/>
      </rPr>
      <t>CO2</t>
    </r>
    <r>
      <rPr>
        <sz val="10"/>
        <color rgb="FF202124"/>
        <rFont val="Arial"/>
        <family val="2"/>
      </rPr>
      <t> per kWh. Als we dit vermenigvuldigen met een gemiddeld jaarverbruik van 2900 tot 3000 kWh stroom veroorzaakt dit een uitstoot van 1882 tot 1947 kg </t>
    </r>
    <r>
      <rPr>
        <b/>
        <sz val="10"/>
        <color rgb="FF202124"/>
        <rFont val="Arial"/>
        <family val="2"/>
      </rPr>
      <t>CO2</t>
    </r>
    <r>
      <rPr>
        <sz val="10"/>
        <color rgb="FF202124"/>
        <rFont val="Arial"/>
        <family val="2"/>
      </rPr>
      <t> per jaar.</t>
    </r>
  </si>
  <si>
    <t>Emissiefactor grijze stroom</t>
  </si>
  <si>
    <t>https://wisenederland.nl/artikel/hoeveel-co2-uitstoot-bespaar-je-als-je-overstapt-op-groene-energie/#:~:text=De%20emissiefactor%20van%20grijze%20stroom,1947%20kg%20CO2%20per%20jaar.</t>
  </si>
  <si>
    <t>0,15 euro per kWh stroom (inclusief energiebelastingen en btw).</t>
  </si>
  <si>
    <t>Stroomtarief</t>
  </si>
  <si>
    <t>https://www.milieucentraal.nl/energie-besparen/inzicht-in-je-energierekening/energierekening/#:~:text=De%20energieprijzen%20in%20jouw%20situatie&amp;text=Je%20betaalt%20in%202022%20ongeveer,lagere%20energiebelasting%20voor%20stroom%20is.</t>
  </si>
  <si>
    <t>Verbruik per m2</t>
  </si>
  <si>
    <t>https://warmtepomp-weetjes.nl/gerelateerd/beng-norm-per-1-juli-2020/</t>
  </si>
  <si>
    <t>Vanaf 1 januari 2021 moet alle nieuwbouw in Nederland worden opgeleverd als “bijna energieneutraal gebouw”, kortweg BENG. Dit betekent dat gebouwen nog verder geïsoleerd en luchtdicht gebouwd moeten worden. Een gebouw op BREEAM-niveau brengt extra kosten met zich mee. BREEAM-NL Nieuwbouw wordt beheerd door Dutch Green Building Council en is in Nederland hét keurmerk om nieuwbouwprojecten integraal te beoordelen op duurzaamheidsprestaties. 
De meerkosten van BREEAM nemen echter af naarmate de ambitieniveaus toenemen (zie tabel 5). Het niveau Outstanding behalen op Bouwbesluitniveau, vergt 354 euro per vierkante meter bvo (bruto vloer oppervlak) aan meerkosten. Om met BENG op BREEAM-budgetniveau uit te komen, is 257 euro per vierkante meter bvo aan extra aanvangskosten nodig ten opzichte van het Bouwbesluit (€ 1601 – € 1.344).</t>
  </si>
  <si>
    <t>Extra investering BREEAM</t>
  </si>
  <si>
    <t>https://www.cobouw.nl/duurzaamheid/nieuws/2018/03/beng-en-breeam-wat-gaat-dat-kosten-101258851?_login=1</t>
  </si>
  <si>
    <t>BREEAM-NL Nieuwbouw is de certificeringsmethode voor nieuwbouwprojecten. BREEAM-NL beoordeelt je project op negen verschillende duurzaamheidscategorieën: management, gezondheid, energie, transport, water, materialen, afval, landgebruik en ecologie en vervuiling. Iedere categorie draagt voor een gedeelte bij aan de totaalscore. Die score wordt uitgedrukt in sterren. Maximaal zijn er vijf sterren te behalen.</t>
  </si>
  <si>
    <t>Richtlijnen BREEAM</t>
  </si>
  <si>
    <t>https://www.samenenergiebesparen.nl/maatregelen/certificering/breeam/</t>
  </si>
  <si>
    <r>
      <t xml:space="preserve">Zie voordelen o.a. duurzaamheid en operationele kosten besparing
</t>
    </r>
    <r>
      <rPr>
        <b/>
        <sz val="10"/>
        <color theme="1"/>
        <rFont val="Arial"/>
        <family val="2"/>
      </rPr>
      <t>Subsidie mogelijk</t>
    </r>
    <r>
      <rPr>
        <sz val="10"/>
        <color theme="1"/>
        <rFont val="Arial"/>
        <family val="2"/>
      </rPr>
      <t xml:space="preserve">
Voordat je met BREEAM-NL start, bepaal je eerst welke duurzame ambities je hebt voor je project. Je zoekt naar de juiste balans tussen wat financieel en technisch haalbaar is en je duurzame wensenlijst.</t>
    </r>
  </si>
  <si>
    <t>Opbrengsten BREEAM</t>
  </si>
  <si>
    <t>https://www.breeam.nl/wat-is-breeam-nl-1</t>
  </si>
  <si>
    <t xml:space="preserve"> Een BREEAM-NL certificaat maakt aantoonbaar dat het een duurzaam en kwalitatief hoogstaand gebouw is. Dit maakt dat u kunt besparen op operationele kosten. Dit blijkt ook uit onderzoek van de World Green Building Council: een meerinvestering in duurzaamheid wordt terugverdiend door een reductie van onder andere energiekosten, waterbesparing en onderhoud. </t>
  </si>
  <si>
    <t>https://www.facilitairjournaal.nl/breeam/</t>
  </si>
  <si>
    <t>Energie besparing 9% comfort en 49% voor BENG maximaal</t>
  </si>
  <si>
    <t>Kosten 630 kVa is 13.184, 1750 kVa is 29.427, 6000 kVa is 219.956, 10.000 kVa is 321.084 en prijs nog per meerlengte meter kabel</t>
  </si>
  <si>
    <t>Kosten aansluiting</t>
  </si>
  <si>
    <t>https://www.enexis.nl/zakelijk/aansluitingen/tarieven/tarievenoverzicht/eenmalige-kosten?stap=Waarvan%20wilt%20u%20de%20kosten%20weten_1_2</t>
  </si>
  <si>
    <t>TIJDSLIJN</t>
  </si>
  <si>
    <t xml:space="preserve">Kantelpunt tussen scenario financieel en duurzaam. Afh van Terugverdientijden en TVT in toekomst. Afschrijftermijnen per asset. </t>
  </si>
  <si>
    <t>Subsidie onrendabele top</t>
  </si>
  <si>
    <t>Let op: BENG normering jurisprudentie, niet volle potentie zon benutten; business case</t>
  </si>
  <si>
    <t>Welke beren op de weg bij het Ieder voor zich- scenario! Argumentatie aanleveren stakeholders</t>
  </si>
  <si>
    <t>Doorrekenen tbv wat realistisch is - niet te snel afvlakken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</si>
</sst>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0\ &quot;MWh&quot;"/>
    <numFmt numFmtId="166" formatCode="#,##0\ &quot;kVA&quot;"/>
  </numFmts>
  <fonts count="32">
    <font>
      <sz val="10"/>
      <color theme="1"/>
      <name val="Arial"/>
      <family val="2"/>
    </font>
    <font>
      <sz val="10"/>
      <color rgb="FFFF0000"/>
      <name val="Arial"/>
      <family val="2"/>
    </font>
    <font>
      <b/>
      <sz val="10"/>
      <color theme="1"/>
      <name val="Arial"/>
      <family val="2"/>
    </font>
    <font>
      <sz val="11"/>
      <color theme="1"/>
      <name val="Calibri"/>
      <family val="2"/>
    </font>
    <font>
      <b/>
      <sz val="14"/>
      <color theme="1"/>
      <name val="Arial"/>
      <family val="2"/>
    </font>
    <font>
      <b/>
      <sz val="10"/>
      <color rgb="FF7030A0"/>
      <name val="Arial"/>
      <family val="2"/>
    </font>
    <font>
      <i/>
      <sz val="11"/>
      <color theme="1"/>
      <name val="Calibri"/>
      <family val="2"/>
    </font>
    <font>
      <i/>
      <sz val="10"/>
      <color theme="1"/>
      <name val="Arial"/>
      <family val="2"/>
    </font>
    <font>
      <sz val="10"/>
      <color rgb="FF7030A0"/>
      <name val="Arial"/>
      <family val="2"/>
    </font>
    <font>
      <b/>
      <sz val="10"/>
      <name val="Arial"/>
      <family val="2"/>
    </font>
    <font>
      <b/>
      <sz val="11"/>
      <color theme="1"/>
      <name val="Calibri"/>
      <family val="2"/>
    </font>
    <font>
      <b/>
      <sz val="11"/>
      <color rgb="FF000000"/>
      <name val="Calibri"/>
      <family val="2"/>
    </font>
    <font>
      <sz val="11"/>
      <color rgb="FF000000"/>
      <name val="Calibri"/>
      <family val="2"/>
    </font>
    <font>
      <sz val="10"/>
      <name val="Arial"/>
      <family val="2"/>
    </font>
    <font>
      <b/>
      <sz val="10"/>
      <color rgb="FFFF0000"/>
      <name val="Arial"/>
      <family val="2"/>
    </font>
    <font>
      <sz val="10"/>
      <color theme="1"/>
      <name val="Arial"/>
      <family val="2"/>
    </font>
    <font>
      <sz val="10"/>
      <color theme="4"/>
      <name val="Arial"/>
      <family val="2"/>
    </font>
    <font>
      <b/>
      <u/>
      <sz val="14"/>
      <color theme="1"/>
      <name val="Arial"/>
      <family val="2"/>
    </font>
    <font>
      <sz val="10"/>
      <color rgb="FF202124"/>
      <name val="Arial"/>
      <family val="2"/>
    </font>
    <font>
      <u val="singleAccounting"/>
      <sz val="10"/>
      <color theme="1"/>
      <name val="Arial"/>
      <family val="2"/>
    </font>
    <font>
      <u val="singleAccounting"/>
      <sz val="10"/>
      <name val="Arial"/>
      <family val="2"/>
    </font>
    <font>
      <b/>
      <sz val="10"/>
      <color rgb="FF00B0F0"/>
      <name val="Arial"/>
      <family val="2"/>
    </font>
    <font>
      <b/>
      <sz val="10"/>
      <color rgb="FF00B050"/>
      <name val="Arial"/>
      <family val="2"/>
    </font>
    <font>
      <sz val="10"/>
      <color rgb="FF0070C0"/>
      <name val="Arial"/>
      <family val="2"/>
    </font>
    <font>
      <b/>
      <sz val="10"/>
      <color rgb="FF0070C0"/>
      <name val="Arial"/>
      <family val="2"/>
    </font>
    <font>
      <b/>
      <sz val="14"/>
      <color rgb="FF7030A0"/>
      <name val="Arial"/>
      <family val="2"/>
    </font>
    <font>
      <b/>
      <u/>
      <sz val="14"/>
      <color rgb="FF7030A0"/>
      <name val="Arial"/>
      <family val="2"/>
    </font>
    <font>
      <sz val="11"/>
      <color theme="4"/>
      <name val="Calibri"/>
      <family val="2"/>
    </font>
    <font>
      <vertAlign val="superscript"/>
      <sz val="11"/>
      <color theme="4"/>
      <name val="Calibri"/>
      <family val="2"/>
    </font>
    <font>
      <b/>
      <sz val="10"/>
      <color rgb="FF202124"/>
      <name val="Arial"/>
      <family val="2"/>
    </font>
    <font>
      <sz val="10"/>
      <color rgb="FF333333"/>
      <name val="Helvetica"/>
      <family val="2"/>
    </font>
    <font>
      <b/>
      <i/>
      <sz val="10"/>
      <color theme="1"/>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rgb="FFE7EDEC"/>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s>
  <borders count="18">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5" fillId="0" borderId="0" applyFont="0" applyFill="0" applyBorder="0" applyAlignment="0" applyProtection="0"/>
    <xf numFmtId="9" fontId="15" fillId="0" borderId="0" applyFont="0" applyFill="0" applyBorder="0" applyAlignment="0" applyProtection="0"/>
  </cellStyleXfs>
  <cellXfs count="106">
    <xf numFmtId="0" fontId="0" fillId="0" borderId="0" xfId="0"/>
    <xf numFmtId="0" fontId="2" fillId="0" borderId="0" xfId="0" applyFont="1"/>
    <xf numFmtId="0" fontId="3" fillId="0" borderId="0" xfId="0" applyFont="1" applyAlignment="1">
      <alignment vertical="center"/>
    </xf>
    <xf numFmtId="0" fontId="0" fillId="0" borderId="0" xfId="0" applyAlignment="1">
      <alignment wrapText="1"/>
    </xf>
    <xf numFmtId="0" fontId="4" fillId="0" borderId="0" xfId="0" applyFont="1"/>
    <xf numFmtId="0" fontId="5" fillId="0" borderId="0" xfId="0" applyFont="1"/>
    <xf numFmtId="0" fontId="6" fillId="0" borderId="0" xfId="0" applyFont="1" applyAlignment="1">
      <alignment vertical="center"/>
    </xf>
    <xf numFmtId="0" fontId="7" fillId="0" borderId="0" xfId="0" applyFont="1"/>
    <xf numFmtId="0" fontId="8" fillId="0" borderId="0" xfId="0" applyFont="1"/>
    <xf numFmtId="0" fontId="0" fillId="2" borderId="0" xfId="0" applyFill="1"/>
    <xf numFmtId="0" fontId="9" fillId="0" borderId="0" xfId="0" applyFont="1"/>
    <xf numFmtId="0" fontId="10" fillId="3" borderId="1" xfId="0" applyFont="1" applyFill="1" applyBorder="1" applyAlignment="1">
      <alignment vertical="center" wrapText="1"/>
    </xf>
    <xf numFmtId="0" fontId="11" fillId="3" borderId="2" xfId="0" applyFont="1" applyFill="1" applyBorder="1" applyAlignment="1">
      <alignment vertical="center" wrapText="1"/>
    </xf>
    <xf numFmtId="0" fontId="12" fillId="3" borderId="3" xfId="0" applyFont="1" applyFill="1" applyBorder="1" applyAlignment="1">
      <alignment vertical="center" wrapText="1"/>
    </xf>
    <xf numFmtId="3" fontId="12" fillId="3" borderId="4" xfId="0" applyNumberFormat="1" applyFont="1" applyFill="1" applyBorder="1" applyAlignment="1">
      <alignment vertical="center" wrapText="1"/>
    </xf>
    <xf numFmtId="0" fontId="12" fillId="3" borderId="4" xfId="0" applyFont="1" applyFill="1" applyBorder="1" applyAlignment="1">
      <alignment vertical="center" wrapText="1"/>
    </xf>
    <xf numFmtId="0" fontId="1" fillId="0" borderId="0" xfId="0" applyFont="1" applyAlignment="1">
      <alignment wrapText="1"/>
    </xf>
    <xf numFmtId="0" fontId="1" fillId="0" borderId="0" xfId="0" applyFont="1"/>
    <xf numFmtId="0" fontId="13" fillId="0" borderId="0" xfId="0" applyFont="1"/>
    <xf numFmtId="0" fontId="14" fillId="0" borderId="0" xfId="0" applyFont="1"/>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1" fontId="1" fillId="0" borderId="0" xfId="0" applyNumberFormat="1" applyFont="1"/>
    <xf numFmtId="0" fontId="3" fillId="0" borderId="0" xfId="0" applyFont="1" applyAlignment="1">
      <alignment vertical="center" wrapText="1"/>
    </xf>
    <xf numFmtId="0" fontId="16" fillId="0" borderId="0" xfId="0" applyFont="1"/>
    <xf numFmtId="0" fontId="1" fillId="0" borderId="0" xfId="0" applyFont="1" applyAlignment="1">
      <alignment horizontal="left"/>
    </xf>
    <xf numFmtId="164" fontId="0" fillId="0" borderId="0" xfId="1" applyNumberFormat="1" applyFont="1"/>
    <xf numFmtId="164" fontId="1" fillId="0" borderId="0" xfId="1" applyNumberFormat="1" applyFont="1"/>
    <xf numFmtId="0" fontId="2" fillId="2" borderId="0" xfId="0" applyFont="1" applyFill="1"/>
    <xf numFmtId="0" fontId="5" fillId="0" borderId="0" xfId="0" applyFont="1" applyAlignment="1">
      <alignment wrapText="1"/>
    </xf>
    <xf numFmtId="0" fontId="8" fillId="0" borderId="0" xfId="0" applyFont="1" applyAlignment="1">
      <alignment wrapText="1"/>
    </xf>
    <xf numFmtId="164" fontId="2" fillId="2" borderId="0" xfId="1" applyNumberFormat="1" applyFont="1" applyFill="1"/>
    <xf numFmtId="164" fontId="0" fillId="2" borderId="0" xfId="1" applyNumberFormat="1" applyFont="1" applyFill="1"/>
    <xf numFmtId="164" fontId="2" fillId="2" borderId="0" xfId="0" applyNumberFormat="1" applyFont="1" applyFill="1"/>
    <xf numFmtId="164" fontId="13" fillId="0" borderId="0" xfId="1" applyNumberFormat="1" applyFont="1"/>
    <xf numFmtId="0" fontId="13" fillId="0" borderId="5" xfId="0" applyFont="1" applyBorder="1"/>
    <xf numFmtId="164" fontId="13" fillId="0" borderId="5" xfId="1" applyNumberFormat="1" applyFont="1" applyBorder="1"/>
    <xf numFmtId="0" fontId="1" fillId="2" borderId="0" xfId="0" applyFont="1" applyFill="1"/>
    <xf numFmtId="164" fontId="15" fillId="2" borderId="0" xfId="1" applyNumberFormat="1" applyFont="1" applyFill="1"/>
    <xf numFmtId="164" fontId="0" fillId="0" borderId="0" xfId="0" applyNumberFormat="1"/>
    <xf numFmtId="164" fontId="2" fillId="0" borderId="0" xfId="1" applyNumberFormat="1" applyFont="1" applyFill="1"/>
    <xf numFmtId="0" fontId="4" fillId="0" borderId="0" xfId="0" applyFont="1" applyAlignment="1">
      <alignment horizontal="center" wrapText="1"/>
    </xf>
    <xf numFmtId="0" fontId="18" fillId="0" borderId="0" xfId="0" applyFont="1"/>
    <xf numFmtId="1" fontId="0" fillId="0" borderId="0" xfId="0" applyNumberFormat="1"/>
    <xf numFmtId="164" fontId="19" fillId="0" borderId="0" xfId="1" applyNumberFormat="1" applyFont="1"/>
    <xf numFmtId="164" fontId="20" fillId="0" borderId="5" xfId="1" applyNumberFormat="1" applyFont="1" applyBorder="1"/>
    <xf numFmtId="0" fontId="13" fillId="0" borderId="0" xfId="0" applyFont="1" applyAlignment="1">
      <alignment wrapText="1"/>
    </xf>
    <xf numFmtId="164" fontId="15" fillId="0" borderId="0" xfId="1" applyNumberFormat="1" applyFont="1" applyFill="1"/>
    <xf numFmtId="0" fontId="5" fillId="0" borderId="6" xfId="0" applyFont="1" applyBorder="1" applyAlignment="1">
      <alignment wrapText="1"/>
    </xf>
    <xf numFmtId="0" fontId="5" fillId="0" borderId="6" xfId="0" applyFont="1" applyBorder="1"/>
    <xf numFmtId="0" fontId="21" fillId="0" borderId="0" xfId="0" applyFont="1"/>
    <xf numFmtId="0" fontId="22" fillId="0" borderId="0" xfId="0" applyFont="1"/>
    <xf numFmtId="164" fontId="24" fillId="0" borderId="0" xfId="1" applyNumberFormat="1" applyFont="1"/>
    <xf numFmtId="0" fontId="24" fillId="0" borderId="0" xfId="0" applyFont="1"/>
    <xf numFmtId="0" fontId="23" fillId="0" borderId="0" xfId="0" applyFont="1"/>
    <xf numFmtId="0" fontId="27" fillId="0" borderId="0" xfId="0" applyFont="1"/>
    <xf numFmtId="164" fontId="8" fillId="0" borderId="0" xfId="1" applyNumberFormat="1" applyFont="1"/>
    <xf numFmtId="0" fontId="2" fillId="4" borderId="0" xfId="0" applyFont="1" applyFill="1"/>
    <xf numFmtId="0" fontId="0" fillId="0" borderId="0" xfId="0" quotePrefix="1" applyAlignment="1">
      <alignment wrapText="1"/>
    </xf>
    <xf numFmtId="0" fontId="0" fillId="0" borderId="0" xfId="0" quotePrefix="1"/>
    <xf numFmtId="0" fontId="14" fillId="0" borderId="0" xfId="0" applyFont="1" applyAlignment="1">
      <alignment vertical="center"/>
    </xf>
    <xf numFmtId="3" fontId="0" fillId="0" borderId="0" xfId="0" applyNumberFormat="1" applyAlignment="1">
      <alignment wrapText="1"/>
    </xf>
    <xf numFmtId="0" fontId="2" fillId="0" borderId="0" xfId="0" applyFont="1" applyAlignment="1">
      <alignment wrapText="1"/>
    </xf>
    <xf numFmtId="3" fontId="1" fillId="0" borderId="0" xfId="0" applyNumberFormat="1" applyFont="1" applyAlignment="1">
      <alignment wrapText="1"/>
    </xf>
    <xf numFmtId="0" fontId="2" fillId="5" borderId="0" xfId="0" applyFont="1" applyFill="1" applyAlignment="1">
      <alignment wrapText="1"/>
    </xf>
    <xf numFmtId="164" fontId="0" fillId="0" borderId="0" xfId="1" applyNumberFormat="1" applyFont="1" applyAlignment="1">
      <alignment wrapText="1"/>
    </xf>
    <xf numFmtId="0" fontId="18" fillId="0" borderId="0" xfId="0" applyFont="1" applyAlignment="1">
      <alignment wrapText="1"/>
    </xf>
    <xf numFmtId="0" fontId="0" fillId="0" borderId="0" xfId="0" applyAlignment="1">
      <alignment vertical="center" wrapText="1"/>
    </xf>
    <xf numFmtId="0" fontId="30" fillId="0" borderId="0" xfId="0" applyFont="1" applyAlignment="1">
      <alignment wrapText="1"/>
    </xf>
    <xf numFmtId="9" fontId="0" fillId="0" borderId="0" xfId="2" applyFont="1"/>
    <xf numFmtId="164" fontId="0" fillId="0" borderId="0" xfId="0" applyNumberFormat="1" applyAlignment="1">
      <alignment wrapText="1"/>
    </xf>
    <xf numFmtId="164" fontId="1" fillId="0" borderId="0" xfId="1" applyNumberFormat="1" applyFont="1" applyAlignment="1">
      <alignment wrapText="1"/>
    </xf>
    <xf numFmtId="0" fontId="2" fillId="4" borderId="0" xfId="0" applyFont="1" applyFill="1" applyAlignment="1">
      <alignment wrapText="1"/>
    </xf>
    <xf numFmtId="0" fontId="13" fillId="0" borderId="0" xfId="0" applyFont="1" applyAlignment="1">
      <alignment vertical="center" wrapText="1"/>
    </xf>
    <xf numFmtId="0" fontId="0" fillId="0" borderId="0" xfId="0" quotePrefix="1" applyAlignment="1">
      <alignment vertical="center" wrapText="1"/>
    </xf>
    <xf numFmtId="0" fontId="0" fillId="6" borderId="0" xfId="0" applyFill="1" applyAlignment="1">
      <alignment wrapText="1"/>
    </xf>
    <xf numFmtId="0" fontId="1" fillId="6" borderId="0" xfId="0" applyFont="1" applyFill="1"/>
    <xf numFmtId="166" fontId="0" fillId="0" borderId="0" xfId="0" applyNumberFormat="1"/>
    <xf numFmtId="0" fontId="31" fillId="0" borderId="0" xfId="0" applyFont="1"/>
    <xf numFmtId="0" fontId="2" fillId="0" borderId="0" xfId="0" applyFont="1" applyAlignment="1">
      <alignment horizontal="center"/>
    </xf>
    <xf numFmtId="0" fontId="2" fillId="0" borderId="7" xfId="0" applyFont="1" applyBorder="1" applyAlignment="1">
      <alignment horizontal="center"/>
    </xf>
    <xf numFmtId="165" fontId="0" fillId="0" borderId="7" xfId="0" applyNumberFormat="1" applyBorder="1"/>
    <xf numFmtId="166" fontId="0" fillId="0" borderId="7" xfId="0" applyNumberFormat="1" applyBorder="1"/>
    <xf numFmtId="0" fontId="31" fillId="0" borderId="8" xfId="0" applyFont="1" applyBorder="1"/>
    <xf numFmtId="0" fontId="2" fillId="0" borderId="11" xfId="0" applyFont="1" applyBorder="1" applyAlignment="1">
      <alignment horizontal="center"/>
    </xf>
    <xf numFmtId="0" fontId="2" fillId="0" borderId="12" xfId="0" applyFont="1" applyBorder="1" applyAlignment="1">
      <alignment horizontal="center"/>
    </xf>
    <xf numFmtId="0" fontId="2" fillId="0" borderId="11" xfId="0" applyFont="1" applyBorder="1"/>
    <xf numFmtId="166" fontId="0" fillId="0" borderId="12" xfId="0" applyNumberFormat="1" applyBorder="1"/>
    <xf numFmtId="0" fontId="2" fillId="0" borderId="13" xfId="0" applyFont="1" applyBorder="1"/>
    <xf numFmtId="165" fontId="0" fillId="0" borderId="0" xfId="0" applyNumberFormat="1"/>
    <xf numFmtId="166" fontId="0" fillId="0" borderId="14" xfId="0" applyNumberFormat="1" applyBorder="1"/>
    <xf numFmtId="0" fontId="2" fillId="0" borderId="15" xfId="0" applyFont="1" applyBorder="1"/>
    <xf numFmtId="165" fontId="13" fillId="0" borderId="7" xfId="0" applyNumberFormat="1" applyFont="1" applyBorder="1"/>
    <xf numFmtId="166" fontId="13" fillId="0" borderId="7" xfId="0" applyNumberFormat="1" applyFont="1" applyBorder="1"/>
    <xf numFmtId="166" fontId="13" fillId="0" borderId="12" xfId="0" applyNumberFormat="1" applyFont="1" applyBorder="1"/>
    <xf numFmtId="164" fontId="13" fillId="0" borderId="0" xfId="1" applyNumberFormat="1" applyFont="1" applyFill="1"/>
    <xf numFmtId="165" fontId="2" fillId="0" borderId="16" xfId="0" applyNumberFormat="1" applyFont="1" applyBorder="1"/>
    <xf numFmtId="166" fontId="2" fillId="0" borderId="16" xfId="0" applyNumberFormat="1" applyFont="1" applyBorder="1"/>
    <xf numFmtId="166" fontId="2" fillId="0" borderId="17" xfId="0" applyNumberFormat="1" applyFont="1" applyBorder="1"/>
    <xf numFmtId="0" fontId="0" fillId="0" borderId="0" xfId="0" applyAlignment="1">
      <alignment horizontal="center" wrapText="1"/>
    </xf>
    <xf numFmtId="0" fontId="31" fillId="0" borderId="9" xfId="0" applyFont="1" applyBorder="1" applyAlignment="1">
      <alignment horizontal="center"/>
    </xf>
    <xf numFmtId="0" fontId="31" fillId="0" borderId="10" xfId="0" applyFont="1" applyBorder="1" applyAlignment="1">
      <alignment horizontal="center"/>
    </xf>
    <xf numFmtId="0" fontId="16" fillId="0" borderId="0" xfId="0" applyFont="1" applyAlignment="1">
      <alignment horizontal="left" wrapText="1"/>
    </xf>
    <xf numFmtId="0" fontId="4" fillId="0" borderId="0" xfId="0" applyFont="1" applyAlignment="1">
      <alignment horizontal="center" wrapText="1"/>
    </xf>
    <xf numFmtId="0" fontId="0" fillId="0" borderId="0" xfId="0" applyAlignment="1">
      <alignment horizontal="left" wrapText="1"/>
    </xf>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emf"/></Relationships>
</file>

<file path=xl/drawings/_rels/drawing3.xml.rels><?xml version="1.0" encoding="UTF-8" standalone="yes"?>
<Relationships xmlns="http://schemas.openxmlformats.org/package/2006/relationships"><Relationship Id="rId2" Type="http://schemas.openxmlformats.org/officeDocument/2006/relationships/image" Target="cid:image001.jpg@01D7EDBB.5050F870" TargetMode="External"/><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9</xdr:col>
      <xdr:colOff>28575</xdr:colOff>
      <xdr:row>1</xdr:row>
      <xdr:rowOff>38103</xdr:rowOff>
    </xdr:from>
    <xdr:to>
      <xdr:col>16</xdr:col>
      <xdr:colOff>92805</xdr:colOff>
      <xdr:row>12</xdr:row>
      <xdr:rowOff>211252</xdr:rowOff>
    </xdr:to>
    <xdr:pic>
      <xdr:nvPicPr>
        <xdr:cNvPr id="3" name="Afbeelding 2">
          <a:extLst>
            <a:ext uri="{FF2B5EF4-FFF2-40B4-BE49-F238E27FC236}">
              <a16:creationId xmlns:a16="http://schemas.microsoft.com/office/drawing/2014/main" id="{29CFCA2D-2AD1-4AC8-B560-084277676E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5" y="209553"/>
          <a:ext cx="4320000" cy="2652824"/>
        </a:xfrm>
        <a:prstGeom prst="rect">
          <a:avLst/>
        </a:prstGeom>
      </xdr:spPr>
    </xdr:pic>
    <xdr:clientData/>
  </xdr:twoCellAnchor>
  <xdr:twoCellAnchor editAs="oneCell">
    <xdr:from>
      <xdr:col>17</xdr:col>
      <xdr:colOff>38100</xdr:colOff>
      <xdr:row>1</xdr:row>
      <xdr:rowOff>38117</xdr:rowOff>
    </xdr:from>
    <xdr:to>
      <xdr:col>24</xdr:col>
      <xdr:colOff>94710</xdr:colOff>
      <xdr:row>12</xdr:row>
      <xdr:rowOff>644120</xdr:rowOff>
    </xdr:to>
    <xdr:pic>
      <xdr:nvPicPr>
        <xdr:cNvPr id="5" name="Afbeelding 4">
          <a:extLst>
            <a:ext uri="{FF2B5EF4-FFF2-40B4-BE49-F238E27FC236}">
              <a16:creationId xmlns:a16="http://schemas.microsoft.com/office/drawing/2014/main" id="{F5F1F441-FAB5-452B-B6C5-E6520FC5D58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20550" y="209567"/>
          <a:ext cx="4320000" cy="3057420"/>
        </a:xfrm>
        <a:prstGeom prst="rect">
          <a:avLst/>
        </a:prstGeom>
      </xdr:spPr>
    </xdr:pic>
    <xdr:clientData/>
  </xdr:twoCellAnchor>
  <xdr:twoCellAnchor editAs="oneCell">
    <xdr:from>
      <xdr:col>17</xdr:col>
      <xdr:colOff>19050</xdr:colOff>
      <xdr:row>22</xdr:row>
      <xdr:rowOff>57151</xdr:rowOff>
    </xdr:from>
    <xdr:to>
      <xdr:col>24</xdr:col>
      <xdr:colOff>60420</xdr:colOff>
      <xdr:row>37</xdr:row>
      <xdr:rowOff>59423</xdr:rowOff>
    </xdr:to>
    <xdr:pic>
      <xdr:nvPicPr>
        <xdr:cNvPr id="7" name="Afbeelding 6">
          <a:extLst>
            <a:ext uri="{FF2B5EF4-FFF2-40B4-BE49-F238E27FC236}">
              <a16:creationId xmlns:a16="http://schemas.microsoft.com/office/drawing/2014/main" id="{6C605D9F-3A1F-4963-B2A9-1FF543060C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01500" y="3476626"/>
          <a:ext cx="4320000" cy="3720832"/>
        </a:xfrm>
        <a:prstGeom prst="rect">
          <a:avLst/>
        </a:prstGeom>
      </xdr:spPr>
    </xdr:pic>
    <xdr:clientData/>
  </xdr:twoCellAnchor>
  <xdr:twoCellAnchor editAs="oneCell">
    <xdr:from>
      <xdr:col>9</xdr:col>
      <xdr:colOff>9525</xdr:colOff>
      <xdr:row>18</xdr:row>
      <xdr:rowOff>9525</xdr:rowOff>
    </xdr:from>
    <xdr:to>
      <xdr:col>16</xdr:col>
      <xdr:colOff>58515</xdr:colOff>
      <xdr:row>27</xdr:row>
      <xdr:rowOff>206120</xdr:rowOff>
    </xdr:to>
    <xdr:pic>
      <xdr:nvPicPr>
        <xdr:cNvPr id="8" name="Afbeelding 7">
          <a:extLst>
            <a:ext uri="{FF2B5EF4-FFF2-40B4-BE49-F238E27FC236}">
              <a16:creationId xmlns:a16="http://schemas.microsoft.com/office/drawing/2014/main" id="{1DCADCB4-FCC5-4C33-B658-B0ED4C57FA64}"/>
            </a:ext>
          </a:extLst>
        </xdr:cNvPr>
        <xdr:cNvPicPr>
          <a:picLocks noChangeAspect="1"/>
        </xdr:cNvPicPr>
      </xdr:nvPicPr>
      <xdr:blipFill>
        <a:blip xmlns:r="http://schemas.openxmlformats.org/officeDocument/2006/relationships" r:embed="rId4"/>
        <a:stretch>
          <a:fillRect/>
        </a:stretch>
      </xdr:blipFill>
      <xdr:spPr>
        <a:xfrm>
          <a:off x="7115175" y="3124200"/>
          <a:ext cx="4320000" cy="2417825"/>
        </a:xfrm>
        <a:prstGeom prst="rect">
          <a:avLst/>
        </a:prstGeom>
      </xdr:spPr>
    </xdr:pic>
    <xdr:clientData/>
  </xdr:twoCellAnchor>
  <xdr:twoCellAnchor editAs="oneCell">
    <xdr:from>
      <xdr:col>9</xdr:col>
      <xdr:colOff>19050</xdr:colOff>
      <xdr:row>30</xdr:row>
      <xdr:rowOff>9525</xdr:rowOff>
    </xdr:from>
    <xdr:to>
      <xdr:col>16</xdr:col>
      <xdr:colOff>60420</xdr:colOff>
      <xdr:row>39</xdr:row>
      <xdr:rowOff>207367</xdr:rowOff>
    </xdr:to>
    <xdr:pic>
      <xdr:nvPicPr>
        <xdr:cNvPr id="9" name="Afbeelding 8">
          <a:extLst>
            <a:ext uri="{FF2B5EF4-FFF2-40B4-BE49-F238E27FC236}">
              <a16:creationId xmlns:a16="http://schemas.microsoft.com/office/drawing/2014/main" id="{721385A6-4443-4E5C-B6FE-31EC513E6F6F}"/>
            </a:ext>
          </a:extLst>
        </xdr:cNvPr>
        <xdr:cNvPicPr>
          <a:picLocks noChangeAspect="1"/>
        </xdr:cNvPicPr>
      </xdr:nvPicPr>
      <xdr:blipFill>
        <a:blip xmlns:r="http://schemas.openxmlformats.org/officeDocument/2006/relationships" r:embed="rId5"/>
        <a:stretch>
          <a:fillRect/>
        </a:stretch>
      </xdr:blipFill>
      <xdr:spPr>
        <a:xfrm>
          <a:off x="7124700" y="6096000"/>
          <a:ext cx="4320000" cy="2415262"/>
        </a:xfrm>
        <a:prstGeom prst="rect">
          <a:avLst/>
        </a:prstGeom>
      </xdr:spPr>
    </xdr:pic>
    <xdr:clientData/>
  </xdr:twoCellAnchor>
  <xdr:twoCellAnchor editAs="oneCell">
    <xdr:from>
      <xdr:col>17</xdr:col>
      <xdr:colOff>9525</xdr:colOff>
      <xdr:row>38</xdr:row>
      <xdr:rowOff>19053</xdr:rowOff>
    </xdr:from>
    <xdr:to>
      <xdr:col>24</xdr:col>
      <xdr:colOff>58515</xdr:colOff>
      <xdr:row>45</xdr:row>
      <xdr:rowOff>54693</xdr:rowOff>
    </xdr:to>
    <xdr:pic>
      <xdr:nvPicPr>
        <xdr:cNvPr id="4" name="Afbeelding 3">
          <a:extLst>
            <a:ext uri="{FF2B5EF4-FFF2-40B4-BE49-F238E27FC236}">
              <a16:creationId xmlns:a16="http://schemas.microsoft.com/office/drawing/2014/main" id="{15EC140C-09D0-4A50-A42D-77AAB77F715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991975" y="8086728"/>
          <a:ext cx="4320000" cy="177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2</xdr:col>
      <xdr:colOff>304800</xdr:colOff>
      <xdr:row>25</xdr:row>
      <xdr:rowOff>47625</xdr:rowOff>
    </xdr:to>
    <xdr:pic>
      <xdr:nvPicPr>
        <xdr:cNvPr id="2" name="Afbeelding 1">
          <a:extLst>
            <a:ext uri="{FF2B5EF4-FFF2-40B4-BE49-F238E27FC236}">
              <a16:creationId xmlns:a16="http://schemas.microsoft.com/office/drawing/2014/main" id="{4983F921-527A-470E-A06C-D7393A0549F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95575"/>
          <a:ext cx="2895600" cy="21050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46</xdr:row>
      <xdr:rowOff>76200</xdr:rowOff>
    </xdr:from>
    <xdr:to>
      <xdr:col>8</xdr:col>
      <xdr:colOff>533400</xdr:colOff>
      <xdr:row>57</xdr:row>
      <xdr:rowOff>160020</xdr:rowOff>
    </xdr:to>
    <xdr:pic>
      <xdr:nvPicPr>
        <xdr:cNvPr id="2" name="Afbeelding 1">
          <a:extLst>
            <a:ext uri="{FF2B5EF4-FFF2-40B4-BE49-F238E27FC236}">
              <a16:creationId xmlns:a16="http://schemas.microsoft.com/office/drawing/2014/main" id="{72BD2AB5-8F1D-42E6-963C-8AFF350575E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5585460"/>
          <a:ext cx="10485120" cy="1973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99061</xdr:colOff>
      <xdr:row>33</xdr:row>
      <xdr:rowOff>7620</xdr:rowOff>
    </xdr:from>
    <xdr:to>
      <xdr:col>15</xdr:col>
      <xdr:colOff>2233</xdr:colOff>
      <xdr:row>40</xdr:row>
      <xdr:rowOff>754380</xdr:rowOff>
    </xdr:to>
    <xdr:pic>
      <xdr:nvPicPr>
        <xdr:cNvPr id="3" name="Afbeelding 2">
          <a:extLst>
            <a:ext uri="{FF2B5EF4-FFF2-40B4-BE49-F238E27FC236}">
              <a16:creationId xmlns:a16="http://schemas.microsoft.com/office/drawing/2014/main" id="{64F53916-ED5E-49D5-80FF-B2A83BE8C4C0}"/>
            </a:ext>
          </a:extLst>
        </xdr:cNvPr>
        <xdr:cNvPicPr>
          <a:picLocks noChangeAspect="1"/>
        </xdr:cNvPicPr>
      </xdr:nvPicPr>
      <xdr:blipFill>
        <a:blip xmlns:r="http://schemas.openxmlformats.org/officeDocument/2006/relationships" r:embed="rId1"/>
        <a:stretch>
          <a:fillRect/>
        </a:stretch>
      </xdr:blipFill>
      <xdr:spPr>
        <a:xfrm>
          <a:off x="5059681" y="5600700"/>
          <a:ext cx="10761672" cy="75666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24</xdr:row>
      <xdr:rowOff>158557</xdr:rowOff>
    </xdr:from>
    <xdr:to>
      <xdr:col>1</xdr:col>
      <xdr:colOff>6722746</xdr:colOff>
      <xdr:row>39</xdr:row>
      <xdr:rowOff>3354</xdr:rowOff>
    </xdr:to>
    <xdr:pic>
      <xdr:nvPicPr>
        <xdr:cNvPr id="2" name="Afbeelding 1">
          <a:extLst>
            <a:ext uri="{FF2B5EF4-FFF2-40B4-BE49-F238E27FC236}">
              <a16:creationId xmlns:a16="http://schemas.microsoft.com/office/drawing/2014/main" id="{E1C7DFB6-8FC8-4AC4-A3C5-0B2932A2DA83}"/>
            </a:ext>
          </a:extLst>
        </xdr:cNvPr>
        <xdr:cNvPicPr>
          <a:picLocks noChangeAspect="1"/>
        </xdr:cNvPicPr>
      </xdr:nvPicPr>
      <xdr:blipFill>
        <a:blip xmlns:r="http://schemas.openxmlformats.org/officeDocument/2006/relationships" r:embed="rId1"/>
        <a:stretch>
          <a:fillRect/>
        </a:stretch>
      </xdr:blipFill>
      <xdr:spPr>
        <a:xfrm>
          <a:off x="609601" y="7702357"/>
          <a:ext cx="6827520" cy="23536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ostmus, M.J. (Marianne)" id="{E53F0039-4A28-45FC-B3E9-ED0B480C55ED}" userId="S::marianne.postmus@croonwolterendros.nl::fae7683a-4c29-4135-a7ad-a396279fa5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 dT="2021-12-07T11:09:39.99" personId="{E53F0039-4A28-45FC-B3E9-ED0B480C55ED}" id="{DF955AD6-25B5-4A9A-B490-D604743B60B6}">
    <text>Document Zero Emissie Breda</text>
  </threadedComment>
  <threadedComment ref="G3" dT="2021-12-14T14:51:02.52" personId="{E53F0039-4A28-45FC-B3E9-ED0B480C55ED}" id="{5C36E7C3-A746-4D5D-9CFD-3E86BF755481}">
    <text>3*450 KW 3 laders pantograaf</text>
  </threadedComment>
  <threadedComment ref="I4" dT="2021-12-14T14:50:41.53" personId="{E53F0039-4A28-45FC-B3E9-ED0B480C55ED}" id="{F891E3C5-1593-4A40-9307-FD0EB3CE9547}">
    <text>6*450 KW</text>
  </threadedComment>
  <threadedComment ref="J4" dT="2021-12-14T14:50:31.72" personId="{E53F0039-4A28-45FC-B3E9-ED0B480C55ED}" id="{1877B87B-7BEA-4FC2-87C6-050B76695CC9}">
    <text>100*60 KW</text>
  </threadedComment>
  <threadedComment ref="K6" dT="2021-12-14T14:55:38.40" personId="{E53F0039-4A28-45FC-B3E9-ED0B480C55ED}" id="{BBA8F675-B9A3-44B2-A754-E4DABE3A4979}">
    <text>9 snelladers 450 KW</text>
  </threadedComment>
  <threadedComment ref="L6" dT="2021-12-14T14:53:53.16" personId="{E53F0039-4A28-45FC-B3E9-ED0B480C55ED}" id="{6423E355-55BA-4A25-856F-6B4E148C8DD5}">
    <text>80% 188 bussen laad 'nachts</text>
  </threadedComment>
  <threadedComment ref="C16" dT="2022-01-11T15:34:45.02" personId="{E53F0039-4A28-45FC-B3E9-ED0B480C55ED}" id="{E4991B48-6296-400E-A3F9-7E8FAD561573}">
    <text>200 meter * 100 meter (Google maps); ruimte voor zon inschatting 50*25 m</text>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1-12-14T16:31:54.85" personId="{E53F0039-4A28-45FC-B3E9-ED0B480C55ED}" id="{2A013E22-3594-43F1-9D3D-33870FE898DE}">
    <text>4 snelladers</text>
  </threadedComment>
  <threadedComment ref="G9" dT="2021-12-14T16:30:15.38" personId="{E53F0039-4A28-45FC-B3E9-ED0B480C55ED}" id="{9FF6FF89-A817-45E1-AE69-A26B1256A6B2}">
    <text>Stel in 2025 de helft elektrisch; 80% laadt in de nacht</text>
  </threadedComment>
  <threadedComment ref="H9" dT="2021-12-14T16:32:09.09" personId="{E53F0039-4A28-45FC-B3E9-ED0B480C55ED}" id="{6606A4A0-E1F2-448D-9C0B-A58B60056178}">
    <text>6 snelladers</text>
  </threadedComment>
  <threadedComment ref="I9" dT="2021-12-14T16:30:54.69" personId="{E53F0039-4A28-45FC-B3E9-ED0B480C55ED}" id="{A1EFE863-A495-42E4-A92B-80FA7535C119}">
    <text>Volledige vloot vrachtwagens elektrisch; 80% in de nacht gelijktijdig</text>
  </threadedComment>
</ThreadedComments>
</file>

<file path=xl/threadedComments/threadedComment3.xml><?xml version="1.0" encoding="utf-8"?>
<ThreadedComments xmlns="http://schemas.microsoft.com/office/spreadsheetml/2018/threadedcomments" xmlns:x="http://schemas.openxmlformats.org/spreadsheetml/2006/main">
  <threadedComment ref="D3" dT="2022-01-12T07:59:15.33" personId="{E53F0039-4A28-45FC-B3E9-ED0B480C55ED}" id="{EA886A34-5BF4-4C28-9143-221A0C970F79}">
    <text>Verbruik kantoor oppervlakte volgens BENG</text>
  </threadedComment>
  <threadedComment ref="B7" dT="2022-01-12T07:39:57.87" personId="{E53F0039-4A28-45FC-B3E9-ED0B480C55ED}" id="{D9C854D7-673F-448E-AC9B-D7159FA57CEF}">
    <text>Kantoorruimte dak / 2 (indien gestapeld)</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1-12-14T15:12:09.61" personId="{E53F0039-4A28-45FC-B3E9-ED0B480C55ED}" id="{1EA89683-6B67-4D50-ADB6-F0A75805337F}">
    <text>50% vrachtwagens een snellader 200 KW</text>
  </threadedComment>
  <threadedComment ref="H4" dT="2021-12-14T15:13:12.40" personId="{E53F0039-4A28-45FC-B3E9-ED0B480C55ED}" id="{543FCA0B-7C31-42F7-B75F-8E4BB4034F26}">
    <text>100% vrachtwagens een snellader 200 KW</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2-01-11T15:03:23.87" personId="{E53F0039-4A28-45FC-B3E9-ED0B480C55ED}" id="{4BB8D61A-749E-4C71-9AC6-929C27D92827}">
    <text>Inschatting van maatwerk extra 8 MW</text>
  </threadedComment>
  <threadedComment ref="E3" dT="2022-01-11T15:16:41.67" personId="{E53F0039-4A28-45FC-B3E9-ED0B480C55ED}" id="{BC5DB127-5220-48C0-B8FD-F45DC3985614}">
    <text>Stroomtarief 15 cent per kWh; indien opwek gelijk is aan gebruik. Na 7,5 jaar gaat zonopwek renderen. 2,5 levert het geld op tijdens de looptijd van 10 jaar
Zie vuistregel 6</text>
  </threadedComment>
  <threadedComment ref="F3" dT="2022-01-11T14:43:53.94" personId="{E53F0039-4A28-45FC-B3E9-ED0B480C55ED}" id="{C30C395E-4FEE-44CE-85EF-220D6013CF50}">
    <text>Aantal panelen mogelijk * kosten per paneel
Zie vuistregel 3</text>
  </threadedComment>
  <threadedComment ref="G3" dT="2022-01-11T15:20:56.34" personId="{E53F0039-4A28-45FC-B3E9-ED0B480C55ED}" id="{7BEC6822-45D7-4D07-8617-A27D8D329661}">
    <text>Zie vuistregel 4</text>
  </threadedComment>
  <threadedComment ref="H3" dT="2022-01-11T15:21:22.44" personId="{E53F0039-4A28-45FC-B3E9-ED0B480C55ED}" id="{47830F81-8D1F-4AEE-8B4D-85669EDC5477}">
    <text>Zie vuistregel 5</text>
  </threadedComment>
  <threadedComment ref="J3" dT="2022-01-11T15:21:58.29" personId="{E53F0039-4A28-45FC-B3E9-ED0B480C55ED}" id="{1A592525-1FB4-45D0-9E8C-39E742094C22}">
    <text>Zie vuistregel 7</text>
  </threadedComment>
  <threadedComment ref="L3" dT="2022-01-12T08:53:01.81" personId="{E53F0039-4A28-45FC-B3E9-ED0B480C55ED}" id="{2835926F-7D52-42FF-B0DE-FF7947A27E1D}">
    <text>naar rato kantoorruimte gemeente; inschatting 50 medewerkers</text>
  </threadedComment>
  <threadedComment ref="E5" dT="2022-01-11T15:16:41.67" personId="{E53F0039-4A28-45FC-B3E9-ED0B480C55ED}" id="{7FABC665-934C-4866-A399-1F5B5D0E6809}">
    <text>Stroomtarief 15 cent per kWh; indien opwek gelijk is aan gebruik. Na 7,5 jaar gaat zonopwek renderen. 2,5 levert het geld op tijdens de looptijd van 10 jaar
Zie vuistregel 6</text>
  </threadedComment>
  <threadedComment ref="F5" dT="2022-01-11T14:43:53.94" personId="{E53F0039-4A28-45FC-B3E9-ED0B480C55ED}" id="{55732FE9-AB0E-4876-BD99-829EE84C1DA7}">
    <text>Aantal panelen mogelijk * kosten per paneel
Zie vuistregel 3</text>
  </threadedComment>
  <threadedComment ref="G5" dT="2022-01-11T15:20:56.34" personId="{E53F0039-4A28-45FC-B3E9-ED0B480C55ED}" id="{D269B65A-9381-4ED9-8CAA-E2916245073C}">
    <text>Zie vuistregel 4</text>
  </threadedComment>
  <threadedComment ref="H5" dT="2022-01-11T15:21:22.44" personId="{E53F0039-4A28-45FC-B3E9-ED0B480C55ED}" id="{6DE2A2C6-45AF-43DD-9FCA-D15E18DFA774}">
    <text>Zie vuistregel 5</text>
  </threadedComment>
  <threadedComment ref="J5" dT="2022-01-11T15:21:58.29" personId="{E53F0039-4A28-45FC-B3E9-ED0B480C55ED}" id="{793F3783-CCFB-4C87-9E65-2B7F2690E546}">
    <text>Zie vuistregel 7</text>
  </threadedComment>
  <threadedComment ref="L5" dT="2022-01-11T15:34:45.02" personId="{E53F0039-4A28-45FC-B3E9-ED0B480C55ED}" id="{ABBCF2BD-AAF0-474D-9786-FE57E4D2B0C1}">
    <text>200 meter * 100 meter (Google maps); ruimte voor zon inschatting 50*25 m</text>
  </threadedComment>
  <threadedComment ref="E6" dT="2022-01-11T16:32:22.70" personId="{E53F0039-4A28-45FC-B3E9-ED0B480C55ED}" id="{94DB6615-DC5D-4EC4-B399-B3DD91CFD735}">
    <text>9% besparing op stroomkosten bij BREEAM comfort niveau</text>
  </threadedComment>
  <threadedComment ref="H6" dT="2022-01-11T15:21:22.44" personId="{E53F0039-4A28-45FC-B3E9-ED0B480C55ED}" id="{A9967915-0E68-4CAD-A5C2-944190ACE984}">
    <text>Zie vuistregel 5</text>
  </threadedComment>
  <threadedComment ref="E7" dT="2022-01-11T16:51:30.62" personId="{E53F0039-4A28-45FC-B3E9-ED0B480C55ED}" id="{6F68480C-1AF1-4D5F-AE9A-E3897B1AD40C}">
    <text>Stel dat de meerkosten voor de gemeente voor een 6 MVA aansluiting worden gedeeld met de Provincie. Gemeente heeft nb 3 MVA nodig</text>
  </threadedComment>
  <threadedComment ref="F7" dT="2022-01-12T07:21:37.53" personId="{E53F0039-4A28-45FC-B3E9-ED0B480C55ED}" id="{836E3C8C-1204-4585-A2A2-D1A2C6B1A84E}">
    <text>Kosten 50 uur afstemming. PS; modelovereenkomst MLOEA vanuit NVDE beschikbaar</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3C80C-52E8-4C41-AA10-2E03F62B98DB}">
  <sheetPr>
    <pageSetUpPr fitToPage="1"/>
  </sheetPr>
  <dimension ref="A1:R61"/>
  <sheetViews>
    <sheetView tabSelected="1" zoomScale="120" zoomScaleNormal="120" workbookViewId="0">
      <selection activeCell="B14" sqref="B14"/>
    </sheetView>
  </sheetViews>
  <sheetFormatPr defaultRowHeight="13.15"/>
  <cols>
    <col min="2" max="2" width="27.140625" customWidth="1"/>
    <col min="3" max="8" width="12.7109375" customWidth="1"/>
  </cols>
  <sheetData>
    <row r="1" spans="1:8" ht="13.9" thickBot="1"/>
    <row r="2" spans="1:8" s="79" customFormat="1">
      <c r="B2" s="84"/>
      <c r="C2" s="101">
        <v>2023</v>
      </c>
      <c r="D2" s="101"/>
      <c r="E2" s="101">
        <v>2025</v>
      </c>
      <c r="F2" s="101"/>
      <c r="G2" s="101">
        <v>2030</v>
      </c>
      <c r="H2" s="102"/>
    </row>
    <row r="3" spans="1:8" s="80" customFormat="1">
      <c r="B3" s="85"/>
      <c r="C3" s="81" t="s">
        <v>0</v>
      </c>
      <c r="D3" s="81" t="s">
        <v>1</v>
      </c>
      <c r="E3" s="81" t="s">
        <v>2</v>
      </c>
      <c r="F3" s="81" t="s">
        <v>1</v>
      </c>
      <c r="G3" s="81" t="s">
        <v>2</v>
      </c>
      <c r="H3" s="86" t="s">
        <v>1</v>
      </c>
    </row>
    <row r="4" spans="1:8">
      <c r="B4" s="87" t="s">
        <v>3</v>
      </c>
      <c r="C4" s="82">
        <v>17500</v>
      </c>
      <c r="D4" s="83">
        <v>5150</v>
      </c>
      <c r="E4" s="82">
        <v>21000</v>
      </c>
      <c r="F4" s="83">
        <v>6000</v>
      </c>
      <c r="G4" s="82">
        <v>31500</v>
      </c>
      <c r="H4" s="88">
        <v>9024</v>
      </c>
    </row>
    <row r="5" spans="1:8">
      <c r="B5" s="87" t="s">
        <v>4</v>
      </c>
      <c r="C5" s="82">
        <v>800</v>
      </c>
      <c r="D5" s="83">
        <v>250</v>
      </c>
      <c r="E5" s="82">
        <v>5000</v>
      </c>
      <c r="F5" s="83">
        <v>1589</v>
      </c>
      <c r="G5" s="82">
        <v>10000</v>
      </c>
      <c r="H5" s="88">
        <v>3137</v>
      </c>
    </row>
    <row r="6" spans="1:8">
      <c r="B6" s="87" t="s">
        <v>5</v>
      </c>
      <c r="C6" s="93">
        <v>150</v>
      </c>
      <c r="D6" s="94">
        <v>100</v>
      </c>
      <c r="E6" s="93">
        <v>900</v>
      </c>
      <c r="F6" s="94">
        <f>D6</f>
        <v>100</v>
      </c>
      <c r="G6" s="93">
        <v>900</v>
      </c>
      <c r="H6" s="95">
        <f>F6</f>
        <v>100</v>
      </c>
    </row>
    <row r="7" spans="1:8">
      <c r="B7" s="87" t="s">
        <v>6</v>
      </c>
      <c r="C7" s="93">
        <v>3200</v>
      </c>
      <c r="D7" s="94">
        <v>1000</v>
      </c>
      <c r="E7" s="93">
        <v>5000</v>
      </c>
      <c r="F7" s="94">
        <v>1500</v>
      </c>
      <c r="G7" s="93">
        <v>16500</v>
      </c>
      <c r="H7" s="95">
        <v>4850</v>
      </c>
    </row>
    <row r="8" spans="1:8">
      <c r="B8" s="87" t="s">
        <v>7</v>
      </c>
      <c r="C8" s="93">
        <f>(2500*150)/1000</f>
        <v>375</v>
      </c>
      <c r="D8" s="94">
        <v>150</v>
      </c>
      <c r="E8" s="93">
        <f>(2500*150)/100</f>
        <v>3750</v>
      </c>
      <c r="F8" s="94">
        <f>D8</f>
        <v>150</v>
      </c>
      <c r="G8" s="93">
        <f>(2500*150)/100</f>
        <v>3750</v>
      </c>
      <c r="H8" s="95">
        <f>F8</f>
        <v>150</v>
      </c>
    </row>
    <row r="9" spans="1:8">
      <c r="B9" s="89"/>
      <c r="C9" s="90"/>
      <c r="D9" s="78"/>
      <c r="E9" s="90"/>
      <c r="F9" s="78"/>
      <c r="G9" s="90"/>
      <c r="H9" s="91"/>
    </row>
    <row r="10" spans="1:8" ht="13.9" thickBot="1">
      <c r="B10" s="92" t="s">
        <v>8</v>
      </c>
      <c r="C10" s="97">
        <f>SUM(C4:C9)</f>
        <v>22025</v>
      </c>
      <c r="D10" s="98">
        <f t="shared" ref="D10:H10" si="0">SUM(D4:D9)</f>
        <v>6650</v>
      </c>
      <c r="E10" s="97">
        <f t="shared" si="0"/>
        <v>35650</v>
      </c>
      <c r="F10" s="98">
        <f t="shared" si="0"/>
        <v>9339</v>
      </c>
      <c r="G10" s="97">
        <f t="shared" si="0"/>
        <v>62650</v>
      </c>
      <c r="H10" s="99">
        <f t="shared" si="0"/>
        <v>17261</v>
      </c>
    </row>
    <row r="12" spans="1:8" ht="68.45" customHeight="1">
      <c r="A12" t="s">
        <v>9</v>
      </c>
      <c r="B12" s="103" t="s">
        <v>10</v>
      </c>
      <c r="C12" s="103"/>
      <c r="D12" s="103"/>
      <c r="E12" s="103"/>
      <c r="F12" s="103"/>
      <c r="G12" s="103"/>
      <c r="H12" s="103"/>
    </row>
    <row r="13" spans="1:8" ht="58.9" customHeight="1">
      <c r="A13" t="s">
        <v>11</v>
      </c>
      <c r="B13" s="103" t="s">
        <v>12</v>
      </c>
      <c r="C13" s="103"/>
      <c r="D13" s="103"/>
      <c r="E13" s="103"/>
      <c r="F13" s="103"/>
      <c r="G13" s="103"/>
      <c r="H13" s="103"/>
    </row>
    <row r="15" spans="1:8" ht="20.100000000000001" customHeight="1">
      <c r="B15" t="s">
        <v>13</v>
      </c>
    </row>
    <row r="16" spans="1:8" ht="20.100000000000001" customHeight="1">
      <c r="B16" t="s">
        <v>14</v>
      </c>
    </row>
    <row r="17" spans="2:11" ht="20.100000000000001" customHeight="1">
      <c r="B17" t="s">
        <v>15</v>
      </c>
    </row>
    <row r="18" spans="2:11" ht="20.100000000000001" customHeight="1">
      <c r="B18" t="s">
        <v>16</v>
      </c>
      <c r="E18" s="78"/>
    </row>
    <row r="19" spans="2:11" ht="20.100000000000001" customHeight="1">
      <c r="B19" t="s">
        <v>17</v>
      </c>
    </row>
    <row r="20" spans="2:11" ht="20.100000000000001" customHeight="1">
      <c r="B20" t="s">
        <v>18</v>
      </c>
    </row>
    <row r="21" spans="2:11" ht="20.100000000000001" customHeight="1">
      <c r="B21" t="s">
        <v>19</v>
      </c>
    </row>
    <row r="22" spans="2:11" ht="20.100000000000001" customHeight="1">
      <c r="B22" t="s">
        <v>20</v>
      </c>
    </row>
    <row r="23" spans="2:11" ht="20.100000000000001" customHeight="1">
      <c r="B23" t="s">
        <v>21</v>
      </c>
    </row>
    <row r="24" spans="2:11" ht="20.100000000000001" customHeight="1">
      <c r="B24" t="s">
        <v>22</v>
      </c>
    </row>
    <row r="25" spans="2:11" ht="20.100000000000001" customHeight="1"/>
    <row r="26" spans="2:11" ht="20.100000000000001" customHeight="1">
      <c r="B26" t="s">
        <v>23</v>
      </c>
    </row>
    <row r="27" spans="2:11" ht="20.100000000000001" customHeight="1">
      <c r="B27" t="s">
        <v>24</v>
      </c>
    </row>
    <row r="28" spans="2:11" ht="20.100000000000001" customHeight="1">
      <c r="B28" t="s">
        <v>25</v>
      </c>
    </row>
    <row r="29" spans="2:11" ht="20.100000000000001" customHeight="1">
      <c r="B29" t="s">
        <v>26</v>
      </c>
      <c r="K29" t="s">
        <v>27</v>
      </c>
    </row>
    <row r="30" spans="2:11" ht="20.100000000000001" customHeight="1">
      <c r="B30" t="s">
        <v>28</v>
      </c>
    </row>
    <row r="31" spans="2:11" ht="20.100000000000001" customHeight="1"/>
    <row r="32" spans="2:11" ht="20.100000000000001" customHeight="1">
      <c r="B32" t="s">
        <v>29</v>
      </c>
    </row>
    <row r="33" spans="2:18" ht="20.100000000000001" customHeight="1">
      <c r="B33" t="s">
        <v>30</v>
      </c>
    </row>
    <row r="34" spans="2:18" ht="20.100000000000001" customHeight="1">
      <c r="B34" t="s">
        <v>31</v>
      </c>
    </row>
    <row r="35" spans="2:18" ht="20.100000000000001" customHeight="1">
      <c r="B35" t="s">
        <v>32</v>
      </c>
    </row>
    <row r="36" spans="2:18" ht="20.100000000000001" customHeight="1">
      <c r="B36" t="s">
        <v>33</v>
      </c>
    </row>
    <row r="37" spans="2:18" ht="20.100000000000001" customHeight="1">
      <c r="B37" t="s">
        <v>34</v>
      </c>
    </row>
    <row r="38" spans="2:18" ht="20.100000000000001" customHeight="1">
      <c r="B38" t="s">
        <v>35</v>
      </c>
    </row>
    <row r="39" spans="2:18" ht="20.100000000000001" customHeight="1"/>
    <row r="40" spans="2:18" ht="20.100000000000001" customHeight="1">
      <c r="B40" t="s">
        <v>36</v>
      </c>
    </row>
    <row r="41" spans="2:18" ht="20.100000000000001" customHeight="1">
      <c r="B41" t="s">
        <v>37</v>
      </c>
      <c r="J41" t="s">
        <v>38</v>
      </c>
    </row>
    <row r="42" spans="2:18" ht="20.100000000000001" customHeight="1">
      <c r="B42" t="s">
        <v>39</v>
      </c>
    </row>
    <row r="43" spans="2:18" ht="20.100000000000001" customHeight="1">
      <c r="B43" t="s">
        <v>40</v>
      </c>
    </row>
    <row r="44" spans="2:18" ht="20.100000000000001" customHeight="1"/>
    <row r="45" spans="2:18" ht="20.100000000000001" customHeight="1">
      <c r="B45" t="s">
        <v>41</v>
      </c>
    </row>
    <row r="46" spans="2:18" ht="20.100000000000001" customHeight="1">
      <c r="B46" t="s">
        <v>42</v>
      </c>
      <c r="R46" t="s">
        <v>43</v>
      </c>
    </row>
    <row r="47" spans="2:18" ht="20.100000000000001" customHeight="1">
      <c r="B47" t="s">
        <v>44</v>
      </c>
      <c r="K47" t="s">
        <v>45</v>
      </c>
    </row>
    <row r="48" spans="2:18">
      <c r="B48" t="s">
        <v>46</v>
      </c>
      <c r="K48" t="s">
        <v>47</v>
      </c>
    </row>
    <row r="49" spans="2:11">
      <c r="B49" s="60" t="s">
        <v>48</v>
      </c>
      <c r="K49" t="s">
        <v>49</v>
      </c>
    </row>
    <row r="51" spans="2:11">
      <c r="B51" t="s">
        <v>50</v>
      </c>
      <c r="K51" t="s">
        <v>51</v>
      </c>
    </row>
    <row r="52" spans="2:11">
      <c r="B52" t="s">
        <v>52</v>
      </c>
      <c r="K52" t="s">
        <v>53</v>
      </c>
    </row>
    <row r="53" spans="2:11">
      <c r="B53" t="s">
        <v>54</v>
      </c>
      <c r="K53" t="s">
        <v>55</v>
      </c>
    </row>
    <row r="54" spans="2:11">
      <c r="B54" t="s">
        <v>56</v>
      </c>
      <c r="K54" t="s">
        <v>57</v>
      </c>
    </row>
    <row r="55" spans="2:11">
      <c r="B55" t="s">
        <v>58</v>
      </c>
      <c r="K55" t="s">
        <v>59</v>
      </c>
    </row>
    <row r="56" spans="2:11">
      <c r="B56" t="s">
        <v>60</v>
      </c>
    </row>
    <row r="59" spans="2:11" ht="129.6" customHeight="1">
      <c r="B59" s="100" t="s">
        <v>61</v>
      </c>
      <c r="C59" s="100"/>
      <c r="D59" s="100"/>
      <c r="E59" s="100"/>
      <c r="F59" s="100"/>
      <c r="G59" s="100"/>
      <c r="H59" s="100"/>
      <c r="I59" s="100"/>
    </row>
    <row r="61" spans="2:11" ht="129.6" customHeight="1">
      <c r="B61" s="100" t="s">
        <v>62</v>
      </c>
      <c r="C61" s="100"/>
      <c r="D61" s="100"/>
      <c r="E61" s="100"/>
      <c r="F61" s="100"/>
      <c r="G61" s="100"/>
      <c r="H61" s="100"/>
      <c r="I61" s="100"/>
    </row>
  </sheetData>
  <mergeCells count="7">
    <mergeCell ref="B61:I61"/>
    <mergeCell ref="C2:D2"/>
    <mergeCell ref="E2:F2"/>
    <mergeCell ref="G2:H2"/>
    <mergeCell ref="B13:H13"/>
    <mergeCell ref="B59:I59"/>
    <mergeCell ref="B12:H12"/>
  </mergeCells>
  <pageMargins left="0.31496062992125984" right="0.31496062992125984" top="0.74803149606299213" bottom="0.74803149606299213" header="0.31496062992125984" footer="0.31496062992125984"/>
  <pageSetup paperSize="9" scale="53" orientation="landscape" cellComments="atEnd" r:id="rId1"/>
  <headerFooter>
    <oddHeader>&amp;L&amp;G&amp;RHoogspanning</oddHeader>
    <oddFooter>&amp;C&amp;P of &amp;N&amp;Lir. Paul Hoorens&amp;R&amp;D
&amp;F
&amp;A</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45BDA-80DB-4BAA-9F84-F103A0773ABE}">
  <dimension ref="A1:I28"/>
  <sheetViews>
    <sheetView workbookViewId="0">
      <selection activeCell="D3" sqref="D3"/>
    </sheetView>
  </sheetViews>
  <sheetFormatPr defaultRowHeight="13.15"/>
  <cols>
    <col min="1" max="1" width="36" customWidth="1"/>
    <col min="4" max="9" width="18.7109375" customWidth="1"/>
  </cols>
  <sheetData>
    <row r="1" spans="1:9" ht="17.45">
      <c r="A1" s="4" t="s">
        <v>236</v>
      </c>
      <c r="D1" s="5">
        <v>2023</v>
      </c>
      <c r="E1" s="5">
        <v>2023</v>
      </c>
      <c r="F1" s="5">
        <v>2025</v>
      </c>
      <c r="G1" s="5">
        <v>2025</v>
      </c>
      <c r="H1" s="5">
        <v>2030</v>
      </c>
      <c r="I1" s="5">
        <v>2030</v>
      </c>
    </row>
    <row r="2" spans="1:9" s="8" customFormat="1">
      <c r="A2" s="5" t="s">
        <v>2</v>
      </c>
      <c r="B2" s="5" t="s">
        <v>88</v>
      </c>
      <c r="C2" s="5" t="s">
        <v>89</v>
      </c>
      <c r="D2" s="5" t="s">
        <v>72</v>
      </c>
      <c r="E2" s="5" t="s">
        <v>73</v>
      </c>
      <c r="F2" s="5" t="s">
        <v>72</v>
      </c>
      <c r="G2" s="5" t="s">
        <v>73</v>
      </c>
      <c r="H2" s="5" t="s">
        <v>72</v>
      </c>
      <c r="I2" s="5" t="s">
        <v>73</v>
      </c>
    </row>
    <row r="3" spans="1:9" ht="26.45">
      <c r="A3" s="3" t="s">
        <v>237</v>
      </c>
      <c r="D3" s="27"/>
    </row>
    <row r="5" spans="1:9">
      <c r="A5" s="9"/>
      <c r="B5" s="9"/>
      <c r="C5" s="9"/>
      <c r="D5" s="9"/>
      <c r="E5" s="9"/>
      <c r="F5" s="9"/>
      <c r="G5" s="9"/>
      <c r="H5" s="9"/>
      <c r="I5" s="9"/>
    </row>
    <row r="6" spans="1:9">
      <c r="A6" s="5" t="s">
        <v>95</v>
      </c>
      <c r="B6" s="8" t="s">
        <v>83</v>
      </c>
      <c r="C6" s="5"/>
    </row>
    <row r="8" spans="1:9">
      <c r="A8" s="9"/>
      <c r="B8" s="9"/>
      <c r="C8" s="9"/>
      <c r="D8" s="9"/>
      <c r="E8" s="9"/>
      <c r="F8" s="9"/>
      <c r="G8" s="9"/>
      <c r="H8" s="9"/>
      <c r="I8" s="9"/>
    </row>
    <row r="9" spans="1:9">
      <c r="A9" s="5" t="s">
        <v>101</v>
      </c>
    </row>
    <row r="12" spans="1:9">
      <c r="A12" s="9"/>
      <c r="B12" s="9"/>
      <c r="C12" s="9"/>
      <c r="D12" s="9"/>
      <c r="E12" s="9"/>
      <c r="F12" s="9"/>
      <c r="G12" s="9"/>
      <c r="H12" s="9"/>
      <c r="I12" s="9"/>
    </row>
    <row r="13" spans="1:9">
      <c r="A13" s="5" t="s">
        <v>106</v>
      </c>
    </row>
    <row r="14" spans="1:9">
      <c r="A14" t="s">
        <v>238</v>
      </c>
    </row>
    <row r="15" spans="1:9">
      <c r="A15" t="s">
        <v>239</v>
      </c>
    </row>
    <row r="16" spans="1:9">
      <c r="A16" s="17" t="s">
        <v>240</v>
      </c>
    </row>
    <row r="17" spans="1:9">
      <c r="A17" s="9"/>
      <c r="B17" s="9"/>
      <c r="C17" s="9"/>
      <c r="D17" s="9"/>
      <c r="E17" s="9"/>
      <c r="F17" s="9"/>
      <c r="G17" s="9"/>
      <c r="H17" s="9"/>
      <c r="I17" s="9"/>
    </row>
    <row r="18" spans="1:9">
      <c r="A18" s="5" t="s">
        <v>108</v>
      </c>
    </row>
    <row r="19" spans="1:9">
      <c r="A19" t="s">
        <v>161</v>
      </c>
    </row>
    <row r="21" spans="1:9">
      <c r="A21" s="9"/>
      <c r="B21" s="9"/>
      <c r="C21" s="9"/>
      <c r="D21" s="9"/>
      <c r="E21" s="9"/>
      <c r="F21" s="9"/>
      <c r="G21" s="9"/>
      <c r="H21" s="9"/>
      <c r="I21" s="9"/>
    </row>
    <row r="22" spans="1:9">
      <c r="A22" s="10" t="s">
        <v>111</v>
      </c>
    </row>
    <row r="26" spans="1:9">
      <c r="A26" s="19" t="s">
        <v>234</v>
      </c>
    </row>
    <row r="27" spans="1:9">
      <c r="A27" t="s">
        <v>241</v>
      </c>
    </row>
    <row r="28" spans="1:9" ht="105.6">
      <c r="A28" s="16" t="s">
        <v>242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BB0C-25FD-4B70-AE9E-916B05E3FA7A}">
  <dimension ref="A1"/>
  <sheetViews>
    <sheetView workbookViewId="0">
      <selection activeCell="M26" sqref="M26"/>
    </sheetView>
  </sheetViews>
  <sheetFormatPr defaultRowHeight="13.15"/>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2572-D1E6-4006-81D4-A742EAA07E2A}">
  <dimension ref="A1"/>
  <sheetViews>
    <sheetView workbookViewId="0">
      <selection activeCell="M26" sqref="M26"/>
    </sheetView>
  </sheetViews>
  <sheetFormatPr defaultRowHeight="13.15"/>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0F91-EC03-4639-872C-4C1B14B85D52}">
  <dimension ref="A1:N34"/>
  <sheetViews>
    <sheetView topLeftCell="B1" workbookViewId="0">
      <pane ySplit="1" topLeftCell="A2" activePane="bottomLeft" state="frozen"/>
      <selection pane="bottomLeft" activeCell="D9" sqref="D9"/>
    </sheetView>
  </sheetViews>
  <sheetFormatPr defaultRowHeight="13.15"/>
  <cols>
    <col min="1" max="1" width="16.5703125" customWidth="1"/>
    <col min="2" max="2" width="36" style="3" bestFit="1" customWidth="1"/>
    <col min="3" max="6" width="23.28515625" style="3" customWidth="1"/>
    <col min="7" max="7" width="14" style="3" bestFit="1" customWidth="1"/>
    <col min="8" max="13" width="23.28515625" style="3" customWidth="1"/>
    <col min="14" max="14" width="44.140625" style="3" customWidth="1"/>
  </cols>
  <sheetData>
    <row r="1" spans="1:14" s="1" customFormat="1" ht="39.6">
      <c r="A1" s="58" t="s">
        <v>243</v>
      </c>
      <c r="B1" s="73" t="s">
        <v>244</v>
      </c>
      <c r="C1" s="65" t="s">
        <v>245</v>
      </c>
      <c r="D1" s="65" t="s">
        <v>246</v>
      </c>
      <c r="E1" s="65" t="s">
        <v>247</v>
      </c>
      <c r="F1" s="65" t="s">
        <v>248</v>
      </c>
      <c r="G1" s="65" t="s">
        <v>249</v>
      </c>
      <c r="H1" s="65" t="s">
        <v>250</v>
      </c>
      <c r="I1" s="65" t="s">
        <v>251</v>
      </c>
      <c r="J1" s="65" t="s">
        <v>252</v>
      </c>
      <c r="K1" s="65" t="s">
        <v>253</v>
      </c>
      <c r="L1" s="65" t="s">
        <v>254</v>
      </c>
      <c r="M1" s="65" t="s">
        <v>255</v>
      </c>
      <c r="N1" s="65" t="s">
        <v>256</v>
      </c>
    </row>
    <row r="2" spans="1:14" ht="66">
      <c r="A2" t="s">
        <v>257</v>
      </c>
      <c r="B2" s="68" t="s">
        <v>258</v>
      </c>
      <c r="C2" s="3" t="s">
        <v>259</v>
      </c>
      <c r="D2" s="3" t="s">
        <v>260</v>
      </c>
      <c r="E2" s="64">
        <v>1000000</v>
      </c>
      <c r="F2" s="62"/>
      <c r="G2" s="62"/>
      <c r="H2" s="62" t="s">
        <v>261</v>
      </c>
    </row>
    <row r="3" spans="1:14" ht="79.150000000000006">
      <c r="A3" t="s">
        <v>257</v>
      </c>
      <c r="B3" s="74" t="s">
        <v>262</v>
      </c>
      <c r="C3" s="3" t="s">
        <v>263</v>
      </c>
      <c r="D3" s="3" t="s">
        <v>264</v>
      </c>
      <c r="E3" s="66">
        <f>(0.15*M3)*2.5</f>
        <v>7312.5</v>
      </c>
      <c r="F3" s="66">
        <f>(L3*4/10)*4500</f>
        <v>270000</v>
      </c>
      <c r="G3" s="66" t="s">
        <v>265</v>
      </c>
      <c r="H3" s="66">
        <f>0.649*M3*1000*10</f>
        <v>126555000</v>
      </c>
      <c r="J3" s="66">
        <f>50*L3</f>
        <v>7500</v>
      </c>
      <c r="K3" s="66">
        <f>0.15*J3</f>
        <v>1125</v>
      </c>
      <c r="L3" s="64">
        <v>150</v>
      </c>
      <c r="M3" s="64">
        <f>(1300*L3/10000)*1000</f>
        <v>19500</v>
      </c>
      <c r="N3" s="16" t="s">
        <v>266</v>
      </c>
    </row>
    <row r="4" spans="1:14">
      <c r="A4" t="s">
        <v>267</v>
      </c>
      <c r="B4" s="68" t="s">
        <v>258</v>
      </c>
    </row>
    <row r="5" spans="1:14" ht="79.150000000000006">
      <c r="A5" t="s">
        <v>267</v>
      </c>
      <c r="B5" s="74" t="s">
        <v>268</v>
      </c>
      <c r="C5" s="3" t="s">
        <v>269</v>
      </c>
      <c r="D5" s="3" t="s">
        <v>270</v>
      </c>
      <c r="E5" s="66">
        <f>(0.15*M5)*2.5</f>
        <v>60937.5</v>
      </c>
      <c r="F5" s="66">
        <f>(L5*4/10)*4500</f>
        <v>2250000</v>
      </c>
      <c r="G5" s="66" t="s">
        <v>265</v>
      </c>
      <c r="H5" s="66">
        <f>0.649*M5*1000*10</f>
        <v>1054625000</v>
      </c>
      <c r="J5" s="66">
        <f>50*L5</f>
        <v>62500</v>
      </c>
      <c r="K5" s="66"/>
      <c r="L5" s="64">
        <f>50*25</f>
        <v>1250</v>
      </c>
      <c r="M5" s="64">
        <f>(1300*L5/10000)*1000</f>
        <v>162500</v>
      </c>
      <c r="N5" s="16" t="s">
        <v>266</v>
      </c>
    </row>
    <row r="6" spans="1:14" ht="39.6">
      <c r="A6" t="s">
        <v>267</v>
      </c>
      <c r="B6" s="68" t="s">
        <v>271</v>
      </c>
      <c r="C6" s="3" t="s">
        <v>272</v>
      </c>
      <c r="D6" s="3" t="s">
        <v>273</v>
      </c>
      <c r="E6" s="71">
        <f>0.09*K3</f>
        <v>101.25</v>
      </c>
      <c r="F6" s="66">
        <f>L3*257</f>
        <v>38550</v>
      </c>
      <c r="H6" s="66">
        <f>0.09*J6</f>
        <v>675</v>
      </c>
      <c r="J6" s="71">
        <f>J3</f>
        <v>7500</v>
      </c>
    </row>
    <row r="7" spans="1:14" ht="39.6">
      <c r="A7" t="s">
        <v>267</v>
      </c>
      <c r="B7" s="68" t="s">
        <v>274</v>
      </c>
      <c r="C7" s="3" t="s">
        <v>275</v>
      </c>
      <c r="D7" s="3" t="s">
        <v>276</v>
      </c>
      <c r="E7" s="72">
        <f>219956/2</f>
        <v>109978</v>
      </c>
      <c r="F7" s="3">
        <f>100*50</f>
        <v>5000</v>
      </c>
      <c r="H7" s="3" t="s">
        <v>277</v>
      </c>
      <c r="I7" s="3" t="s">
        <v>278</v>
      </c>
      <c r="N7" s="76" t="s">
        <v>279</v>
      </c>
    </row>
    <row r="8" spans="1:14" ht="52.9">
      <c r="A8" t="s">
        <v>280</v>
      </c>
      <c r="B8" s="59" t="s">
        <v>281</v>
      </c>
    </row>
    <row r="9" spans="1:14" ht="39.6">
      <c r="A9" t="s">
        <v>280</v>
      </c>
      <c r="B9" s="59" t="s">
        <v>282</v>
      </c>
    </row>
    <row r="10" spans="1:14" ht="26.45">
      <c r="A10" t="s">
        <v>280</v>
      </c>
      <c r="B10" s="3" t="s">
        <v>283</v>
      </c>
    </row>
    <row r="11" spans="1:14" ht="52.9">
      <c r="A11" t="s">
        <v>280</v>
      </c>
      <c r="B11" s="3" t="s">
        <v>284</v>
      </c>
    </row>
    <row r="12" spans="1:14" ht="26.45">
      <c r="A12" t="s">
        <v>280</v>
      </c>
      <c r="B12" s="3" t="s">
        <v>285</v>
      </c>
    </row>
    <row r="13" spans="1:14" ht="26.45">
      <c r="A13" t="s">
        <v>286</v>
      </c>
      <c r="B13" s="75" t="s">
        <v>287</v>
      </c>
    </row>
    <row r="14" spans="1:14" ht="39.6">
      <c r="A14" t="s">
        <v>286</v>
      </c>
      <c r="B14" s="75" t="s">
        <v>288</v>
      </c>
    </row>
    <row r="15" spans="1:14" ht="26.45">
      <c r="A15" t="s">
        <v>289</v>
      </c>
      <c r="B15" s="75" t="s">
        <v>290</v>
      </c>
      <c r="F15" s="63"/>
      <c r="G15" s="63"/>
    </row>
    <row r="16" spans="1:14" ht="26.45">
      <c r="A16" t="s">
        <v>289</v>
      </c>
      <c r="B16" s="75" t="s">
        <v>291</v>
      </c>
      <c r="F16"/>
      <c r="G16"/>
    </row>
    <row r="17" spans="1:2" ht="26.45">
      <c r="A17" t="s">
        <v>289</v>
      </c>
      <c r="B17" s="68" t="s">
        <v>292</v>
      </c>
    </row>
    <row r="18" spans="1:2" ht="26.45">
      <c r="A18" t="s">
        <v>289</v>
      </c>
      <c r="B18" s="3" t="s">
        <v>293</v>
      </c>
    </row>
    <row r="19" spans="1:2" ht="52.9">
      <c r="A19" t="s">
        <v>294</v>
      </c>
      <c r="B19" s="59" t="s">
        <v>295</v>
      </c>
    </row>
    <row r="20" spans="1:2" ht="52.9">
      <c r="A20" t="s">
        <v>294</v>
      </c>
      <c r="B20" s="3" t="s">
        <v>296</v>
      </c>
    </row>
    <row r="21" spans="1:2" ht="26.45">
      <c r="A21" t="s">
        <v>294</v>
      </c>
      <c r="B21" s="3" t="s">
        <v>297</v>
      </c>
    </row>
    <row r="22" spans="1:2" ht="39.6">
      <c r="A22" t="s">
        <v>294</v>
      </c>
      <c r="B22" s="3" t="s">
        <v>298</v>
      </c>
    </row>
    <row r="23" spans="1:2" ht="26.45">
      <c r="A23" t="s">
        <v>294</v>
      </c>
      <c r="B23" s="3" t="s">
        <v>285</v>
      </c>
    </row>
    <row r="24" spans="1:2">
      <c r="A24" t="s">
        <v>299</v>
      </c>
    </row>
    <row r="25" spans="1:2" ht="26.45">
      <c r="A25" t="s">
        <v>300</v>
      </c>
      <c r="B25" s="3" t="s">
        <v>301</v>
      </c>
    </row>
    <row r="26" spans="1:2" ht="26.45">
      <c r="A26" t="s">
        <v>302</v>
      </c>
      <c r="B26" s="3" t="s">
        <v>303</v>
      </c>
    </row>
    <row r="27" spans="1:2" ht="26.45">
      <c r="A27" t="s">
        <v>302</v>
      </c>
      <c r="B27" s="3" t="s">
        <v>304</v>
      </c>
    </row>
    <row r="28" spans="1:2" ht="105.6">
      <c r="A28" t="s">
        <v>305</v>
      </c>
      <c r="B28" s="59" t="s">
        <v>306</v>
      </c>
    </row>
    <row r="29" spans="1:2" ht="105.6">
      <c r="A29" t="s">
        <v>307</v>
      </c>
      <c r="B29" s="59" t="s">
        <v>306</v>
      </c>
    </row>
    <row r="30" spans="1:2" ht="118.9">
      <c r="A30" t="s">
        <v>308</v>
      </c>
      <c r="B30" s="59" t="s">
        <v>309</v>
      </c>
    </row>
    <row r="31" spans="1:2">
      <c r="A31" t="s">
        <v>308</v>
      </c>
      <c r="B31" s="3" t="s">
        <v>310</v>
      </c>
    </row>
    <row r="32" spans="1:2" ht="66">
      <c r="A32" t="s">
        <v>311</v>
      </c>
      <c r="B32" s="59" t="s">
        <v>312</v>
      </c>
    </row>
    <row r="33" spans="1:2" ht="52.9">
      <c r="A33" t="s">
        <v>313</v>
      </c>
      <c r="B33" s="59" t="s">
        <v>314</v>
      </c>
    </row>
    <row r="34" spans="1:2" ht="105.6">
      <c r="A34" t="s">
        <v>315</v>
      </c>
      <c r="B34" s="59" t="s">
        <v>316</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5124-3982-42EF-9209-D783EE322162}">
  <dimension ref="A1:F23"/>
  <sheetViews>
    <sheetView workbookViewId="0">
      <selection activeCell="B11" sqref="B11"/>
    </sheetView>
  </sheetViews>
  <sheetFormatPr defaultRowHeight="13.15"/>
  <cols>
    <col min="2" max="2" width="100.85546875" customWidth="1"/>
    <col min="3" max="3" width="23.28515625" customWidth="1"/>
  </cols>
  <sheetData>
    <row r="1" spans="1:6">
      <c r="A1" t="s">
        <v>317</v>
      </c>
      <c r="B1" s="63" t="s">
        <v>318</v>
      </c>
      <c r="C1" s="63" t="s">
        <v>319</v>
      </c>
      <c r="D1" s="1" t="s">
        <v>320</v>
      </c>
    </row>
    <row r="2" spans="1:6">
      <c r="A2">
        <v>1</v>
      </c>
      <c r="B2" t="s">
        <v>321</v>
      </c>
      <c r="C2" t="s">
        <v>95</v>
      </c>
      <c r="D2" t="s">
        <v>322</v>
      </c>
    </row>
    <row r="3" spans="1:6">
      <c r="A3">
        <v>2</v>
      </c>
      <c r="B3" t="s">
        <v>323</v>
      </c>
      <c r="C3" t="s">
        <v>324</v>
      </c>
      <c r="D3" t="s">
        <v>325</v>
      </c>
    </row>
    <row r="4" spans="1:6">
      <c r="A4">
        <v>3</v>
      </c>
      <c r="B4" t="s">
        <v>326</v>
      </c>
      <c r="C4" t="s">
        <v>327</v>
      </c>
      <c r="D4" t="s">
        <v>328</v>
      </c>
    </row>
    <row r="5" spans="1:6">
      <c r="A5">
        <v>4</v>
      </c>
      <c r="B5" t="s">
        <v>329</v>
      </c>
      <c r="C5" t="s">
        <v>330</v>
      </c>
      <c r="D5" t="s">
        <v>331</v>
      </c>
    </row>
    <row r="6" spans="1:6" ht="26.45">
      <c r="A6">
        <v>5</v>
      </c>
      <c r="B6" s="67" t="s">
        <v>332</v>
      </c>
      <c r="C6" s="67" t="s">
        <v>333</v>
      </c>
      <c r="D6" t="s">
        <v>334</v>
      </c>
    </row>
    <row r="7" spans="1:6">
      <c r="A7">
        <v>6</v>
      </c>
      <c r="B7" t="s">
        <v>335</v>
      </c>
      <c r="C7" t="s">
        <v>336</v>
      </c>
      <c r="D7" t="s">
        <v>337</v>
      </c>
    </row>
    <row r="8" spans="1:6" ht="26.45">
      <c r="A8">
        <v>7</v>
      </c>
      <c r="B8" s="67" t="s">
        <v>162</v>
      </c>
      <c r="C8" t="s">
        <v>338</v>
      </c>
      <c r="D8" t="s">
        <v>339</v>
      </c>
    </row>
    <row r="9" spans="1:6" ht="118.9">
      <c r="A9">
        <v>8</v>
      </c>
      <c r="B9" s="3" t="s">
        <v>340</v>
      </c>
      <c r="C9" t="s">
        <v>341</v>
      </c>
      <c r="D9" t="s">
        <v>342</v>
      </c>
    </row>
    <row r="10" spans="1:6" ht="52.9">
      <c r="A10">
        <v>9</v>
      </c>
      <c r="B10" s="69" t="s">
        <v>343</v>
      </c>
      <c r="C10" t="s">
        <v>344</v>
      </c>
      <c r="D10" t="s">
        <v>345</v>
      </c>
    </row>
    <row r="11" spans="1:6" ht="79.150000000000006">
      <c r="A11">
        <v>10</v>
      </c>
      <c r="B11" s="3" t="s">
        <v>346</v>
      </c>
      <c r="C11" t="s">
        <v>347</v>
      </c>
      <c r="D11" t="s">
        <v>348</v>
      </c>
    </row>
    <row r="12" spans="1:6" ht="52.9">
      <c r="A12">
        <v>11</v>
      </c>
      <c r="B12" s="3" t="s">
        <v>349</v>
      </c>
      <c r="C12" t="s">
        <v>347</v>
      </c>
      <c r="D12" t="s">
        <v>350</v>
      </c>
    </row>
    <row r="13" spans="1:6">
      <c r="A13">
        <v>12</v>
      </c>
      <c r="B13" s="3" t="s">
        <v>351</v>
      </c>
      <c r="C13" t="s">
        <v>347</v>
      </c>
      <c r="D13" t="s">
        <v>342</v>
      </c>
      <c r="E13" s="70">
        <f>518247/1014258</f>
        <v>0.51096170796779516</v>
      </c>
      <c r="F13" s="70">
        <f>927609/1014258</f>
        <v>0.91456907414089905</v>
      </c>
    </row>
    <row r="14" spans="1:6" ht="26.45">
      <c r="A14">
        <v>13</v>
      </c>
      <c r="B14" s="3" t="s">
        <v>352</v>
      </c>
      <c r="C14" t="s">
        <v>353</v>
      </c>
      <c r="D14" t="s">
        <v>354</v>
      </c>
    </row>
    <row r="16" spans="1:6">
      <c r="B16" s="1"/>
    </row>
    <row r="18" spans="1:1">
      <c r="A18" s="61" t="s">
        <v>355</v>
      </c>
    </row>
    <row r="19" spans="1:1">
      <c r="A19" s="17" t="s">
        <v>356</v>
      </c>
    </row>
    <row r="20" spans="1:1">
      <c r="A20" s="17" t="s">
        <v>357</v>
      </c>
    </row>
    <row r="21" spans="1:1">
      <c r="A21" s="17" t="s">
        <v>358</v>
      </c>
    </row>
    <row r="22" spans="1:1">
      <c r="A22" s="17" t="s">
        <v>359</v>
      </c>
    </row>
    <row r="23" spans="1:1">
      <c r="A23" s="17" t="s">
        <v>360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1D15-1D72-4F5D-A052-5AFB932D0DA7}">
  <dimension ref="A1:J13"/>
  <sheetViews>
    <sheetView showGridLines="0" workbookViewId="0">
      <selection activeCell="D32" sqref="D32"/>
    </sheetView>
  </sheetViews>
  <sheetFormatPr defaultRowHeight="13.15"/>
  <cols>
    <col min="1" max="1" width="31.140625" customWidth="1"/>
    <col min="2" max="2" width="6.7109375" bestFit="1" customWidth="1"/>
    <col min="3" max="3" width="7.7109375" bestFit="1" customWidth="1"/>
    <col min="4" max="4" width="7.85546875" customWidth="1"/>
    <col min="5" max="10" width="16.28515625" customWidth="1"/>
  </cols>
  <sheetData>
    <row r="1" spans="1:10" ht="50.45" customHeight="1">
      <c r="A1" s="42" t="s">
        <v>63</v>
      </c>
    </row>
    <row r="2" spans="1:10" s="31" customFormat="1" ht="13.9" thickBot="1">
      <c r="A2" s="49" t="s">
        <v>64</v>
      </c>
      <c r="B2" s="50">
        <v>2021</v>
      </c>
      <c r="C2"/>
      <c r="H2"/>
      <c r="I2"/>
      <c r="J2"/>
    </row>
    <row r="3" spans="1:10">
      <c r="A3" t="s">
        <v>65</v>
      </c>
      <c r="B3" s="27">
        <v>0</v>
      </c>
    </row>
    <row r="4" spans="1:10">
      <c r="A4" s="9"/>
      <c r="B4" s="33"/>
    </row>
    <row r="5" spans="1:10">
      <c r="A5" t="s">
        <v>4</v>
      </c>
      <c r="B5" s="27">
        <v>0</v>
      </c>
    </row>
    <row r="6" spans="1:10">
      <c r="A6" s="9"/>
      <c r="B6" s="33"/>
    </row>
    <row r="7" spans="1:10" s="18" customFormat="1">
      <c r="A7" s="18" t="s">
        <v>66</v>
      </c>
      <c r="B7" s="35">
        <v>0</v>
      </c>
      <c r="C7"/>
      <c r="H7"/>
      <c r="I7"/>
      <c r="J7"/>
    </row>
    <row r="8" spans="1:10">
      <c r="A8" s="38"/>
      <c r="B8" s="33"/>
    </row>
    <row r="9" spans="1:10">
      <c r="A9" t="s">
        <v>67</v>
      </c>
      <c r="B9" s="35">
        <f>Sligro!B6</f>
        <v>2000</v>
      </c>
    </row>
    <row r="10" spans="1:10">
      <c r="A10" s="29"/>
      <c r="B10" s="39"/>
    </row>
    <row r="11" spans="1:10" s="1" customFormat="1">
      <c r="A11" t="s">
        <v>68</v>
      </c>
      <c r="B11" s="48">
        <f>'Konings drinks'!B6</f>
        <v>1285</v>
      </c>
      <c r="C11"/>
      <c r="H11"/>
      <c r="I11"/>
      <c r="J11"/>
    </row>
    <row r="12" spans="1:10" s="1" customFormat="1">
      <c r="A12" s="29"/>
      <c r="B12" s="32"/>
      <c r="C12"/>
      <c r="H12"/>
      <c r="I12"/>
      <c r="J12"/>
    </row>
    <row r="13" spans="1:10" s="1" customFormat="1">
      <c r="B13" s="41"/>
      <c r="C13"/>
      <c r="D13"/>
      <c r="E13"/>
      <c r="F13"/>
      <c r="G13"/>
      <c r="H13"/>
      <c r="I13"/>
      <c r="J1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98D8-464A-410F-B41A-CC8EAF8CBFDC}">
  <dimension ref="A1:L39"/>
  <sheetViews>
    <sheetView showGridLines="0" topLeftCell="A16" workbookViewId="0">
      <selection activeCell="H25" sqref="H25"/>
    </sheetView>
  </sheetViews>
  <sheetFormatPr defaultRowHeight="13.15"/>
  <cols>
    <col min="1" max="1" width="18.140625" customWidth="1"/>
    <col min="2" max="2" width="11.28515625" customWidth="1"/>
    <col min="3" max="3" width="18.7109375" customWidth="1"/>
    <col min="4" max="4" width="6.7109375" bestFit="1" customWidth="1"/>
    <col min="5" max="5" width="7.7109375" bestFit="1" customWidth="1"/>
    <col min="6" max="6" width="7.85546875" customWidth="1"/>
    <col min="7" max="12" width="16.28515625" customWidth="1"/>
  </cols>
  <sheetData>
    <row r="1" spans="1:12" s="1" customFormat="1">
      <c r="B1"/>
      <c r="C1"/>
      <c r="D1" s="41"/>
      <c r="E1"/>
      <c r="F1"/>
      <c r="G1"/>
      <c r="H1"/>
      <c r="I1"/>
      <c r="J1"/>
      <c r="K1"/>
      <c r="L1"/>
    </row>
    <row r="2" spans="1:12" ht="50.45" customHeight="1">
      <c r="A2" s="104" t="s">
        <v>69</v>
      </c>
      <c r="B2" s="104"/>
      <c r="C2" s="104"/>
      <c r="D2" s="5">
        <v>2023</v>
      </c>
      <c r="E2" s="5">
        <v>2025</v>
      </c>
      <c r="F2" s="5">
        <v>2030</v>
      </c>
      <c r="G2" s="5">
        <v>2023</v>
      </c>
      <c r="H2" s="5">
        <v>2023</v>
      </c>
      <c r="I2" s="5">
        <v>2025</v>
      </c>
      <c r="J2" s="5">
        <v>2025</v>
      </c>
      <c r="K2" s="5">
        <v>2030</v>
      </c>
      <c r="L2" s="5">
        <v>2030</v>
      </c>
    </row>
    <row r="3" spans="1:12" s="31" customFormat="1" ht="26.45">
      <c r="A3" s="30" t="s">
        <v>64</v>
      </c>
      <c r="B3" s="30" t="s">
        <v>70</v>
      </c>
      <c r="C3" s="30" t="s">
        <v>71</v>
      </c>
      <c r="D3" s="30"/>
      <c r="E3" s="30"/>
      <c r="F3" s="30"/>
      <c r="G3" s="30" t="s">
        <v>72</v>
      </c>
      <c r="H3" s="30" t="s">
        <v>73</v>
      </c>
      <c r="I3" s="30" t="s">
        <v>72</v>
      </c>
      <c r="J3" s="30" t="s">
        <v>73</v>
      </c>
      <c r="K3" s="30" t="s">
        <v>72</v>
      </c>
      <c r="L3" s="30" t="s">
        <v>73</v>
      </c>
    </row>
    <row r="4" spans="1:12" ht="15">
      <c r="A4" t="s">
        <v>65</v>
      </c>
      <c r="B4" t="s">
        <v>74</v>
      </c>
      <c r="C4" t="s">
        <v>75</v>
      </c>
      <c r="D4" s="27">
        <f>Busremise!D3</f>
        <v>5150</v>
      </c>
      <c r="E4" s="27">
        <f>Busremise!E4</f>
        <v>6000</v>
      </c>
      <c r="F4" s="27">
        <f>Busremise!F6</f>
        <v>9024</v>
      </c>
      <c r="G4" s="27">
        <f>Busremise!G3</f>
        <v>1350</v>
      </c>
      <c r="H4" s="45">
        <f>Busremise!H3</f>
        <v>5150</v>
      </c>
      <c r="I4" s="27">
        <f>Busremise!I4</f>
        <v>2700</v>
      </c>
      <c r="J4" s="45">
        <f>Busremise!J4</f>
        <v>6000</v>
      </c>
      <c r="K4" s="27">
        <f>Busremise!K6</f>
        <v>4050</v>
      </c>
      <c r="L4" s="45">
        <f>Busremise!L6</f>
        <v>9024</v>
      </c>
    </row>
    <row r="5" spans="1:12">
      <c r="A5" s="9"/>
      <c r="B5" s="9"/>
      <c r="C5" s="9"/>
      <c r="D5" s="33"/>
      <c r="E5" s="33"/>
      <c r="F5" s="33"/>
      <c r="G5" s="33"/>
      <c r="H5" s="33"/>
      <c r="I5" s="33"/>
      <c r="J5" s="33"/>
      <c r="K5" s="33"/>
      <c r="L5" s="33"/>
    </row>
    <row r="6" spans="1:12" ht="15">
      <c r="A6" t="s">
        <v>4</v>
      </c>
      <c r="B6" t="s">
        <v>74</v>
      </c>
      <c r="C6" t="s">
        <v>75</v>
      </c>
      <c r="D6" s="27">
        <f>'Gemeente wagenpark'!E3</f>
        <v>250</v>
      </c>
      <c r="E6" s="27">
        <f>'Gemeente wagenpark'!G11</f>
        <v>1589</v>
      </c>
      <c r="F6" s="27">
        <f>'Gemeente wagenpark'!I11</f>
        <v>3137</v>
      </c>
      <c r="G6" s="27"/>
      <c r="H6" s="45">
        <f>D6</f>
        <v>250</v>
      </c>
      <c r="I6" s="27">
        <f>'Gemeente wagenpark'!F11</f>
        <v>750</v>
      </c>
      <c r="J6" s="45">
        <f>'Gemeente wagenpark'!G11</f>
        <v>1589</v>
      </c>
      <c r="K6" s="27">
        <f>'Gemeente wagenpark'!H11</f>
        <v>900</v>
      </c>
      <c r="L6" s="45">
        <f>'Gemeente wagenpark'!I11</f>
        <v>3137</v>
      </c>
    </row>
    <row r="7" spans="1:12">
      <c r="A7" s="9"/>
      <c r="B7" s="9"/>
      <c r="C7" s="9"/>
      <c r="D7" s="33"/>
      <c r="E7" s="33"/>
      <c r="F7" s="33"/>
      <c r="G7" s="33"/>
      <c r="H7" s="33"/>
      <c r="I7" s="33"/>
      <c r="J7" s="33"/>
      <c r="K7" s="33"/>
      <c r="L7" s="33"/>
    </row>
    <row r="8" spans="1:12" s="18" customFormat="1">
      <c r="A8" s="18" t="s">
        <v>66</v>
      </c>
      <c r="B8" s="18" t="s">
        <v>76</v>
      </c>
      <c r="D8" s="35">
        <f>'Eerste conclusie'!D6</f>
        <v>100</v>
      </c>
      <c r="E8" s="35">
        <f>D8</f>
        <v>100</v>
      </c>
      <c r="F8" s="35">
        <f>D8</f>
        <v>100</v>
      </c>
      <c r="G8" s="35">
        <f>D8</f>
        <v>100</v>
      </c>
      <c r="H8" s="35"/>
      <c r="I8" s="35">
        <f>E8</f>
        <v>100</v>
      </c>
      <c r="J8" s="35"/>
      <c r="K8" s="35">
        <f>F8</f>
        <v>100</v>
      </c>
      <c r="L8" s="35"/>
    </row>
    <row r="9" spans="1:12" s="1" customFormat="1">
      <c r="A9" s="29"/>
      <c r="B9" s="9"/>
      <c r="C9" s="9"/>
      <c r="D9" s="39"/>
      <c r="E9" s="39"/>
      <c r="F9" s="39"/>
      <c r="G9" s="39"/>
      <c r="H9" s="39"/>
      <c r="I9" s="39"/>
      <c r="J9" s="39"/>
      <c r="K9" s="39"/>
      <c r="L9" s="39"/>
    </row>
    <row r="10" spans="1:12" s="1" customFormat="1">
      <c r="A10" s="29" t="s">
        <v>77</v>
      </c>
      <c r="B10" s="9"/>
      <c r="C10" s="9"/>
      <c r="D10" s="32">
        <f>D8+D4+D6</f>
        <v>5500</v>
      </c>
      <c r="E10" s="32">
        <f t="shared" ref="E10:L10" si="0">E8+E4+E6</f>
        <v>7689</v>
      </c>
      <c r="F10" s="32">
        <f t="shared" si="0"/>
        <v>12261</v>
      </c>
      <c r="G10" s="32">
        <f t="shared" si="0"/>
        <v>1450</v>
      </c>
      <c r="H10" s="32">
        <f t="shared" si="0"/>
        <v>5400</v>
      </c>
      <c r="I10" s="32">
        <f t="shared" si="0"/>
        <v>3550</v>
      </c>
      <c r="J10" s="32">
        <f t="shared" si="0"/>
        <v>7589</v>
      </c>
      <c r="K10" s="32">
        <f t="shared" si="0"/>
        <v>5050</v>
      </c>
      <c r="L10" s="32">
        <f t="shared" si="0"/>
        <v>12161</v>
      </c>
    </row>
    <row r="12" spans="1:12" ht="50.45" customHeight="1">
      <c r="A12" s="104" t="s">
        <v>78</v>
      </c>
      <c r="B12" s="104"/>
      <c r="C12" s="104"/>
      <c r="D12" s="5">
        <v>2023</v>
      </c>
      <c r="E12" s="5">
        <v>2025</v>
      </c>
      <c r="F12" s="5">
        <v>2030</v>
      </c>
      <c r="G12" s="5">
        <v>2023</v>
      </c>
      <c r="H12" s="5">
        <v>2023</v>
      </c>
      <c r="I12" s="5">
        <v>2025</v>
      </c>
      <c r="J12" s="5">
        <v>2025</v>
      </c>
      <c r="K12" s="5">
        <v>2030</v>
      </c>
      <c r="L12" s="5">
        <v>2030</v>
      </c>
    </row>
    <row r="13" spans="1:12" s="31" customFormat="1" ht="26.45">
      <c r="A13" s="30" t="s">
        <v>64</v>
      </c>
      <c r="B13" s="30" t="s">
        <v>70</v>
      </c>
      <c r="C13" s="30" t="s">
        <v>71</v>
      </c>
      <c r="D13" s="30"/>
      <c r="E13" s="30"/>
      <c r="F13" s="30"/>
      <c r="G13" s="30" t="s">
        <v>72</v>
      </c>
      <c r="H13" s="30" t="s">
        <v>73</v>
      </c>
      <c r="I13" s="30" t="s">
        <v>72</v>
      </c>
      <c r="J13" s="30" t="s">
        <v>73</v>
      </c>
      <c r="K13" s="30" t="s">
        <v>72</v>
      </c>
      <c r="L13" s="30" t="s">
        <v>73</v>
      </c>
    </row>
    <row r="14" spans="1:12" ht="15">
      <c r="A14" t="s">
        <v>65</v>
      </c>
      <c r="B14" t="s">
        <v>74</v>
      </c>
      <c r="C14" t="s">
        <v>75</v>
      </c>
      <c r="D14" s="27">
        <f t="shared" ref="D14:L14" si="1">D4</f>
        <v>5150</v>
      </c>
      <c r="E14" s="27">
        <f t="shared" si="1"/>
        <v>6000</v>
      </c>
      <c r="F14" s="27">
        <f t="shared" si="1"/>
        <v>9024</v>
      </c>
      <c r="G14" s="27">
        <f t="shared" si="1"/>
        <v>1350</v>
      </c>
      <c r="H14" s="45">
        <f t="shared" si="1"/>
        <v>5150</v>
      </c>
      <c r="I14" s="27">
        <f t="shared" si="1"/>
        <v>2700</v>
      </c>
      <c r="J14" s="45">
        <f t="shared" si="1"/>
        <v>6000</v>
      </c>
      <c r="K14" s="27">
        <f t="shared" si="1"/>
        <v>4050</v>
      </c>
      <c r="L14" s="45">
        <f t="shared" si="1"/>
        <v>9024</v>
      </c>
    </row>
    <row r="15" spans="1:12">
      <c r="A15" s="9"/>
      <c r="B15" s="9"/>
      <c r="C15" s="9"/>
      <c r="D15" s="33">
        <f t="shared" ref="D15:L15" si="2">D5</f>
        <v>0</v>
      </c>
      <c r="E15" s="33">
        <f t="shared" si="2"/>
        <v>0</v>
      </c>
      <c r="F15" s="33">
        <f t="shared" si="2"/>
        <v>0</v>
      </c>
      <c r="G15" s="33">
        <f t="shared" si="2"/>
        <v>0</v>
      </c>
      <c r="H15" s="33">
        <f t="shared" si="2"/>
        <v>0</v>
      </c>
      <c r="I15" s="33">
        <f t="shared" si="2"/>
        <v>0</v>
      </c>
      <c r="J15" s="33">
        <f t="shared" si="2"/>
        <v>0</v>
      </c>
      <c r="K15" s="33">
        <f t="shared" si="2"/>
        <v>0</v>
      </c>
      <c r="L15" s="33">
        <f t="shared" si="2"/>
        <v>0</v>
      </c>
    </row>
    <row r="16" spans="1:12" ht="15">
      <c r="A16" t="s">
        <v>4</v>
      </c>
      <c r="B16" t="s">
        <v>74</v>
      </c>
      <c r="C16" t="s">
        <v>75</v>
      </c>
      <c r="D16" s="27">
        <f t="shared" ref="D16:L16" si="3">D6</f>
        <v>250</v>
      </c>
      <c r="E16" s="27">
        <f t="shared" si="3"/>
        <v>1589</v>
      </c>
      <c r="F16" s="27">
        <f t="shared" si="3"/>
        <v>3137</v>
      </c>
      <c r="G16" s="27">
        <f t="shared" si="3"/>
        <v>0</v>
      </c>
      <c r="H16" s="45">
        <f t="shared" si="3"/>
        <v>250</v>
      </c>
      <c r="I16" s="27">
        <f t="shared" si="3"/>
        <v>750</v>
      </c>
      <c r="J16" s="45">
        <f t="shared" si="3"/>
        <v>1589</v>
      </c>
      <c r="K16" s="27">
        <f t="shared" si="3"/>
        <v>900</v>
      </c>
      <c r="L16" s="45">
        <f t="shared" si="3"/>
        <v>3137</v>
      </c>
    </row>
    <row r="17" spans="1:12">
      <c r="A17" s="9"/>
      <c r="B17" s="9"/>
      <c r="C17" s="9"/>
      <c r="D17" s="33">
        <f t="shared" ref="D17:L17" si="4">D7</f>
        <v>0</v>
      </c>
      <c r="E17" s="33">
        <f t="shared" si="4"/>
        <v>0</v>
      </c>
      <c r="F17" s="33">
        <f t="shared" si="4"/>
        <v>0</v>
      </c>
      <c r="G17" s="33">
        <f t="shared" si="4"/>
        <v>0</v>
      </c>
      <c r="H17" s="33">
        <f t="shared" si="4"/>
        <v>0</v>
      </c>
      <c r="I17" s="33">
        <f t="shared" si="4"/>
        <v>0</v>
      </c>
      <c r="J17" s="33">
        <f t="shared" si="4"/>
        <v>0</v>
      </c>
      <c r="K17" s="33">
        <f t="shared" si="4"/>
        <v>0</v>
      </c>
      <c r="L17" s="33">
        <f t="shared" si="4"/>
        <v>0</v>
      </c>
    </row>
    <row r="18" spans="1:12" s="18" customFormat="1">
      <c r="A18" s="18" t="s">
        <v>66</v>
      </c>
      <c r="B18" s="18" t="s">
        <v>76</v>
      </c>
      <c r="D18" s="96">
        <f t="shared" ref="D18:L18" si="5">D8</f>
        <v>100</v>
      </c>
      <c r="E18" s="96">
        <f t="shared" si="5"/>
        <v>100</v>
      </c>
      <c r="F18" s="96">
        <f t="shared" si="5"/>
        <v>100</v>
      </c>
      <c r="G18" s="35">
        <f t="shared" si="5"/>
        <v>100</v>
      </c>
      <c r="H18" s="35">
        <f t="shared" si="5"/>
        <v>0</v>
      </c>
      <c r="I18" s="35">
        <f t="shared" si="5"/>
        <v>100</v>
      </c>
      <c r="J18" s="35">
        <f t="shared" si="5"/>
        <v>0</v>
      </c>
      <c r="K18" s="35">
        <f t="shared" si="5"/>
        <v>100</v>
      </c>
      <c r="L18" s="35">
        <f t="shared" si="5"/>
        <v>0</v>
      </c>
    </row>
    <row r="19" spans="1:12">
      <c r="A19" s="38"/>
      <c r="B19" s="9"/>
      <c r="C19" s="9"/>
      <c r="D19" s="33"/>
      <c r="E19" s="33"/>
      <c r="F19" s="33"/>
      <c r="G19" s="33"/>
      <c r="H19" s="33"/>
      <c r="I19" s="33"/>
      <c r="J19" s="33"/>
      <c r="K19" s="33"/>
      <c r="L19" s="33"/>
    </row>
    <row r="20" spans="1:12">
      <c r="A20" t="s">
        <v>67</v>
      </c>
      <c r="B20" s="18" t="s">
        <v>79</v>
      </c>
      <c r="C20" s="18" t="s">
        <v>80</v>
      </c>
      <c r="D20" s="35"/>
      <c r="E20" s="35"/>
      <c r="F20" s="35"/>
      <c r="G20" s="35"/>
      <c r="H20" s="35"/>
      <c r="I20" s="35"/>
      <c r="J20" s="35"/>
      <c r="K20" s="35"/>
      <c r="L20" s="35"/>
    </row>
    <row r="21" spans="1:12" ht="15">
      <c r="A21" t="s">
        <v>81</v>
      </c>
      <c r="B21" s="36" t="s">
        <v>74</v>
      </c>
      <c r="C21" s="36" t="s">
        <v>75</v>
      </c>
      <c r="D21" s="37">
        <v>0</v>
      </c>
      <c r="E21" s="37">
        <f>I21</f>
        <v>500</v>
      </c>
      <c r="F21" s="37">
        <f>K21</f>
        <v>3850</v>
      </c>
      <c r="G21" s="37">
        <f>Sligro!D4</f>
        <v>0</v>
      </c>
      <c r="H21" s="37">
        <f>Sligro!E4</f>
        <v>0</v>
      </c>
      <c r="I21" s="46">
        <f>Sligro!F4</f>
        <v>500</v>
      </c>
      <c r="J21" s="37">
        <f>Sligro!G4</f>
        <v>0</v>
      </c>
      <c r="K21" s="46">
        <f>Sligro!H4</f>
        <v>3850</v>
      </c>
      <c r="L21" s="37">
        <f>Sligro!I4</f>
        <v>0</v>
      </c>
    </row>
    <row r="22" spans="1:12" s="1" customFormat="1">
      <c r="A22" s="29"/>
      <c r="B22" s="9"/>
      <c r="C22" s="9"/>
      <c r="D22" s="39"/>
      <c r="E22" s="39"/>
      <c r="F22" s="39"/>
      <c r="G22" s="39"/>
      <c r="H22" s="39"/>
      <c r="I22" s="39"/>
      <c r="J22" s="39"/>
      <c r="K22" s="39"/>
      <c r="L22" s="39"/>
    </row>
    <row r="23" spans="1:12" s="1" customFormat="1">
      <c r="A23" s="29" t="s">
        <v>77</v>
      </c>
      <c r="B23" s="9"/>
      <c r="C23" s="9"/>
      <c r="D23" s="32">
        <f>D21+D18+D14+D16</f>
        <v>5500</v>
      </c>
      <c r="E23" s="32">
        <f t="shared" ref="E23:L23" si="6">E21+E18+E14+E16</f>
        <v>8189</v>
      </c>
      <c r="F23" s="32">
        <f t="shared" si="6"/>
        <v>16111</v>
      </c>
      <c r="G23" s="32">
        <f t="shared" si="6"/>
        <v>1450</v>
      </c>
      <c r="H23" s="32">
        <f t="shared" si="6"/>
        <v>5400</v>
      </c>
      <c r="I23" s="32">
        <f t="shared" si="6"/>
        <v>4050</v>
      </c>
      <c r="J23" s="32">
        <f t="shared" si="6"/>
        <v>7589</v>
      </c>
      <c r="K23" s="32">
        <f t="shared" si="6"/>
        <v>8900</v>
      </c>
      <c r="L23" s="32">
        <f t="shared" si="6"/>
        <v>12161</v>
      </c>
    </row>
    <row r="24" spans="1:12" s="1" customFormat="1">
      <c r="A24" s="29"/>
      <c r="B24" s="9"/>
      <c r="C24" s="9"/>
      <c r="D24" s="32"/>
      <c r="E24" s="32"/>
      <c r="F24" s="32"/>
      <c r="G24" s="32"/>
      <c r="H24" s="32"/>
      <c r="I24" s="32"/>
      <c r="J24" s="32"/>
      <c r="K24" s="32"/>
      <c r="L24" s="32"/>
    </row>
    <row r="25" spans="1:12" ht="53.45" customHeight="1">
      <c r="A25" s="104" t="s">
        <v>82</v>
      </c>
      <c r="B25" s="104"/>
      <c r="C25" s="104"/>
      <c r="D25" s="5">
        <v>2023</v>
      </c>
      <c r="E25" s="5">
        <v>2025</v>
      </c>
      <c r="F25" s="5">
        <v>2030</v>
      </c>
      <c r="G25" s="5">
        <v>2023</v>
      </c>
      <c r="H25" s="5">
        <v>2023</v>
      </c>
      <c r="I25" s="5">
        <v>2025</v>
      </c>
      <c r="J25" s="5">
        <v>2025</v>
      </c>
      <c r="K25" s="5">
        <v>2030</v>
      </c>
      <c r="L25" s="5">
        <v>2030</v>
      </c>
    </row>
    <row r="26" spans="1:12" s="31" customFormat="1" ht="26.45">
      <c r="A26" s="30" t="s">
        <v>64</v>
      </c>
      <c r="B26" s="30" t="s">
        <v>70</v>
      </c>
      <c r="C26" s="30" t="s">
        <v>71</v>
      </c>
      <c r="D26" s="30"/>
      <c r="E26" s="30"/>
      <c r="F26" s="30"/>
      <c r="G26" s="30" t="s">
        <v>72</v>
      </c>
      <c r="H26" s="30" t="s">
        <v>73</v>
      </c>
      <c r="I26" s="30" t="s">
        <v>72</v>
      </c>
      <c r="J26" s="30" t="s">
        <v>73</v>
      </c>
      <c r="K26" s="30" t="s">
        <v>72</v>
      </c>
      <c r="L26" s="30" t="s">
        <v>73</v>
      </c>
    </row>
    <row r="27" spans="1:12" ht="15">
      <c r="A27" t="s">
        <v>65</v>
      </c>
      <c r="B27" t="s">
        <v>74</v>
      </c>
      <c r="C27" t="s">
        <v>75</v>
      </c>
      <c r="D27" s="27">
        <f t="shared" ref="D27:L27" si="7">D4</f>
        <v>5150</v>
      </c>
      <c r="E27" s="27">
        <f t="shared" si="7"/>
        <v>6000</v>
      </c>
      <c r="F27" s="27">
        <f t="shared" si="7"/>
        <v>9024</v>
      </c>
      <c r="G27" s="27">
        <f t="shared" si="7"/>
        <v>1350</v>
      </c>
      <c r="H27" s="45">
        <f t="shared" si="7"/>
        <v>5150</v>
      </c>
      <c r="I27" s="27">
        <f t="shared" si="7"/>
        <v>2700</v>
      </c>
      <c r="J27" s="45">
        <f t="shared" si="7"/>
        <v>6000</v>
      </c>
      <c r="K27" s="27">
        <f t="shared" si="7"/>
        <v>4050</v>
      </c>
      <c r="L27" s="45">
        <f t="shared" si="7"/>
        <v>9024</v>
      </c>
    </row>
    <row r="28" spans="1:12">
      <c r="A28" s="9"/>
      <c r="B28" s="9"/>
      <c r="C28" s="9"/>
      <c r="D28" s="33">
        <f t="shared" ref="D28:L28" si="8">D5</f>
        <v>0</v>
      </c>
      <c r="E28" s="33">
        <f t="shared" si="8"/>
        <v>0</v>
      </c>
      <c r="F28" s="33">
        <f t="shared" si="8"/>
        <v>0</v>
      </c>
      <c r="G28" s="33">
        <f t="shared" si="8"/>
        <v>0</v>
      </c>
      <c r="H28" s="33">
        <f t="shared" si="8"/>
        <v>0</v>
      </c>
      <c r="I28" s="33">
        <f t="shared" si="8"/>
        <v>0</v>
      </c>
      <c r="J28" s="33">
        <f t="shared" si="8"/>
        <v>0</v>
      </c>
      <c r="K28" s="33">
        <f t="shared" si="8"/>
        <v>0</v>
      </c>
      <c r="L28" s="33">
        <f t="shared" si="8"/>
        <v>0</v>
      </c>
    </row>
    <row r="29" spans="1:12" ht="15">
      <c r="A29" t="s">
        <v>4</v>
      </c>
      <c r="B29" t="s">
        <v>74</v>
      </c>
      <c r="C29" t="s">
        <v>75</v>
      </c>
      <c r="D29" s="27">
        <f t="shared" ref="D29:L29" si="9">D6</f>
        <v>250</v>
      </c>
      <c r="E29" s="27">
        <f t="shared" si="9"/>
        <v>1589</v>
      </c>
      <c r="F29" s="27">
        <f t="shared" si="9"/>
        <v>3137</v>
      </c>
      <c r="G29" s="27">
        <f t="shared" si="9"/>
        <v>0</v>
      </c>
      <c r="H29" s="45">
        <f t="shared" si="9"/>
        <v>250</v>
      </c>
      <c r="I29" s="27">
        <f t="shared" si="9"/>
        <v>750</v>
      </c>
      <c r="J29" s="45">
        <f t="shared" si="9"/>
        <v>1589</v>
      </c>
      <c r="K29" s="27">
        <f t="shared" si="9"/>
        <v>900</v>
      </c>
      <c r="L29" s="45">
        <f t="shared" si="9"/>
        <v>3137</v>
      </c>
    </row>
    <row r="30" spans="1:12">
      <c r="A30" s="9"/>
      <c r="B30" s="9"/>
      <c r="C30" s="9"/>
      <c r="D30" s="33">
        <f t="shared" ref="D30:L30" si="10">D7</f>
        <v>0</v>
      </c>
      <c r="E30" s="33">
        <f t="shared" si="10"/>
        <v>0</v>
      </c>
      <c r="F30" s="33">
        <f t="shared" si="10"/>
        <v>0</v>
      </c>
      <c r="G30" s="33">
        <f t="shared" si="10"/>
        <v>0</v>
      </c>
      <c r="H30" s="33">
        <f t="shared" si="10"/>
        <v>0</v>
      </c>
      <c r="I30" s="33">
        <f t="shared" si="10"/>
        <v>0</v>
      </c>
      <c r="J30" s="33">
        <f t="shared" si="10"/>
        <v>0</v>
      </c>
      <c r="K30" s="33">
        <f t="shared" si="10"/>
        <v>0</v>
      </c>
      <c r="L30" s="33">
        <f t="shared" si="10"/>
        <v>0</v>
      </c>
    </row>
    <row r="31" spans="1:12">
      <c r="A31" s="18" t="s">
        <v>66</v>
      </c>
      <c r="D31" s="35">
        <f t="shared" ref="D31:L31" si="11">D8</f>
        <v>100</v>
      </c>
      <c r="E31" s="35">
        <f t="shared" si="11"/>
        <v>100</v>
      </c>
      <c r="F31" s="35">
        <f t="shared" si="11"/>
        <v>100</v>
      </c>
      <c r="G31" s="35">
        <f t="shared" si="11"/>
        <v>100</v>
      </c>
      <c r="H31" s="35">
        <f t="shared" si="11"/>
        <v>0</v>
      </c>
      <c r="I31" s="35">
        <f t="shared" si="11"/>
        <v>100</v>
      </c>
      <c r="J31" s="35">
        <f t="shared" si="11"/>
        <v>0</v>
      </c>
      <c r="K31" s="35">
        <f t="shared" si="11"/>
        <v>100</v>
      </c>
      <c r="L31" s="35">
        <f t="shared" si="11"/>
        <v>0</v>
      </c>
    </row>
    <row r="32" spans="1:12">
      <c r="A32" s="38"/>
      <c r="B32" s="9"/>
      <c r="C32" s="9"/>
      <c r="D32" s="33"/>
      <c r="E32" s="33"/>
      <c r="F32" s="33"/>
      <c r="G32" s="33"/>
      <c r="H32" s="33"/>
      <c r="I32" s="33"/>
      <c r="J32" s="33"/>
      <c r="K32" s="33"/>
      <c r="L32" s="33"/>
    </row>
    <row r="33" spans="1:12">
      <c r="A33" t="s">
        <v>67</v>
      </c>
      <c r="B33" s="18" t="s">
        <v>79</v>
      </c>
      <c r="C33" s="18" t="s">
        <v>83</v>
      </c>
      <c r="D33" s="35"/>
      <c r="E33" s="35"/>
      <c r="F33" s="35"/>
      <c r="G33" s="35"/>
      <c r="H33" s="35"/>
      <c r="I33" s="35"/>
      <c r="J33" s="35"/>
      <c r="K33" s="35"/>
      <c r="L33" s="35"/>
    </row>
    <row r="34" spans="1:12" ht="15">
      <c r="B34" s="36" t="s">
        <v>74</v>
      </c>
      <c r="C34" s="36" t="s">
        <v>75</v>
      </c>
      <c r="D34" s="37"/>
      <c r="E34" s="37">
        <f>E21</f>
        <v>500</v>
      </c>
      <c r="F34" s="37">
        <f>F21</f>
        <v>3850</v>
      </c>
      <c r="G34" s="37"/>
      <c r="H34" s="37"/>
      <c r="I34" s="46">
        <f>I21</f>
        <v>500</v>
      </c>
      <c r="J34" s="46">
        <f t="shared" ref="J34:L34" si="12">J21</f>
        <v>0</v>
      </c>
      <c r="K34" s="46">
        <f t="shared" si="12"/>
        <v>3850</v>
      </c>
      <c r="L34" s="46">
        <f t="shared" si="12"/>
        <v>0</v>
      </c>
    </row>
    <row r="35" spans="1:12" s="1" customFormat="1">
      <c r="A35" s="29"/>
      <c r="B35" s="9"/>
      <c r="C35" s="9"/>
      <c r="D35" s="39"/>
      <c r="E35" s="39"/>
      <c r="F35" s="39"/>
      <c r="G35" s="33"/>
      <c r="H35" s="33"/>
      <c r="I35" s="33"/>
      <c r="J35" s="33"/>
      <c r="K35" s="33"/>
      <c r="L35" s="33"/>
    </row>
    <row r="36" spans="1:12" ht="26.45">
      <c r="A36" t="s">
        <v>68</v>
      </c>
      <c r="B36" s="3" t="s">
        <v>84</v>
      </c>
      <c r="C36" s="3" t="s">
        <v>85</v>
      </c>
      <c r="D36" s="27"/>
      <c r="E36" s="35"/>
      <c r="F36" s="35">
        <v>2000</v>
      </c>
      <c r="G36" s="27"/>
      <c r="H36" s="27"/>
      <c r="I36" s="27">
        <f>E36</f>
        <v>0</v>
      </c>
      <c r="J36" s="27">
        <f>E36</f>
        <v>0</v>
      </c>
      <c r="K36" s="27">
        <f>F36</f>
        <v>2000</v>
      </c>
      <c r="L36" s="27">
        <f>F36</f>
        <v>2000</v>
      </c>
    </row>
    <row r="37" spans="1:12" s="1" customFormat="1">
      <c r="A37" s="29"/>
      <c r="B37" s="9"/>
      <c r="C37" s="9"/>
      <c r="D37" s="39"/>
      <c r="E37" s="39"/>
      <c r="F37" s="39"/>
      <c r="G37" s="39"/>
      <c r="H37" s="39"/>
      <c r="I37" s="39"/>
      <c r="J37" s="39"/>
      <c r="K37" s="39"/>
      <c r="L37" s="39"/>
    </row>
    <row r="38" spans="1:12" s="1" customFormat="1">
      <c r="A38" s="29" t="s">
        <v>77</v>
      </c>
      <c r="B38" s="9"/>
      <c r="C38" s="9"/>
      <c r="D38" s="32">
        <f>D31+D34+D36+D27+D29</f>
        <v>5500</v>
      </c>
      <c r="E38" s="32">
        <f t="shared" ref="E38:J38" si="13">E31+E34+E36+E27+E29</f>
        <v>8189</v>
      </c>
      <c r="F38" s="32">
        <f t="shared" si="13"/>
        <v>18111</v>
      </c>
      <c r="G38" s="32">
        <f t="shared" si="13"/>
        <v>1450</v>
      </c>
      <c r="H38" s="32">
        <f t="shared" si="13"/>
        <v>5400</v>
      </c>
      <c r="I38" s="32">
        <f t="shared" si="13"/>
        <v>4050</v>
      </c>
      <c r="J38" s="32">
        <f t="shared" si="13"/>
        <v>7589</v>
      </c>
      <c r="K38" s="32"/>
      <c r="L38" s="32"/>
    </row>
    <row r="39" spans="1:12" s="1" customFormat="1">
      <c r="B39"/>
      <c r="C39"/>
      <c r="D39" s="41"/>
      <c r="E39" s="41"/>
      <c r="F39" s="41"/>
      <c r="G39" s="41"/>
      <c r="H39" s="41"/>
      <c r="I39" s="41"/>
      <c r="J39" s="41"/>
      <c r="K39" s="41"/>
      <c r="L39" s="41"/>
    </row>
  </sheetData>
  <mergeCells count="3">
    <mergeCell ref="A2:C2"/>
    <mergeCell ref="A25:C25"/>
    <mergeCell ref="A12:C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90DA6-2261-4E51-8929-744E2D23B692}">
  <dimension ref="A1:L55"/>
  <sheetViews>
    <sheetView workbookViewId="0">
      <selection activeCell="B17" sqref="B17"/>
    </sheetView>
  </sheetViews>
  <sheetFormatPr defaultRowHeight="13.15"/>
  <cols>
    <col min="1" max="1" width="25" customWidth="1"/>
    <col min="2" max="2" width="10.28515625" bestFit="1" customWidth="1"/>
    <col min="7" max="12" width="20.28515625" customWidth="1"/>
  </cols>
  <sheetData>
    <row r="1" spans="1:12" ht="17.45">
      <c r="A1" s="4" t="s">
        <v>86</v>
      </c>
      <c r="D1" s="5">
        <v>2023</v>
      </c>
      <c r="E1" s="5">
        <v>2025</v>
      </c>
      <c r="F1" s="5">
        <v>2030</v>
      </c>
      <c r="G1" s="5">
        <v>2023</v>
      </c>
      <c r="H1" s="5">
        <v>2023</v>
      </c>
      <c r="I1" s="5">
        <v>2025</v>
      </c>
      <c r="J1" s="5">
        <v>2025</v>
      </c>
      <c r="K1" s="5">
        <v>2030</v>
      </c>
      <c r="L1" s="5">
        <v>2030</v>
      </c>
    </row>
    <row r="2" spans="1:12" s="8" customFormat="1">
      <c r="A2" s="5" t="s">
        <v>87</v>
      </c>
      <c r="B2" s="5" t="s">
        <v>88</v>
      </c>
      <c r="C2" s="5" t="s">
        <v>89</v>
      </c>
      <c r="D2" s="5"/>
      <c r="E2" s="5"/>
      <c r="F2" s="5"/>
      <c r="G2" s="5" t="s">
        <v>72</v>
      </c>
      <c r="H2" s="5" t="s">
        <v>73</v>
      </c>
      <c r="I2" s="5" t="s">
        <v>72</v>
      </c>
      <c r="J2" s="5" t="s">
        <v>73</v>
      </c>
      <c r="K2" s="5" t="s">
        <v>72</v>
      </c>
      <c r="L2" s="5" t="s">
        <v>73</v>
      </c>
    </row>
    <row r="3" spans="1:12">
      <c r="A3" t="s">
        <v>90</v>
      </c>
      <c r="D3" s="17">
        <v>5150</v>
      </c>
      <c r="G3" s="28">
        <f>3*450</f>
        <v>1350</v>
      </c>
      <c r="H3" s="28">
        <f>D3</f>
        <v>5150</v>
      </c>
      <c r="I3" s="28"/>
      <c r="J3" s="28"/>
      <c r="K3" s="28"/>
      <c r="L3" s="28"/>
    </row>
    <row r="4" spans="1:12">
      <c r="A4" t="s">
        <v>91</v>
      </c>
      <c r="B4" t="s">
        <v>74</v>
      </c>
      <c r="C4" t="s">
        <v>75</v>
      </c>
      <c r="E4" s="23">
        <f>J4</f>
        <v>6000</v>
      </c>
      <c r="G4" s="28"/>
      <c r="H4" s="28"/>
      <c r="I4" s="28">
        <f>6*450</f>
        <v>2700</v>
      </c>
      <c r="J4" s="28">
        <f>0.8*125*60</f>
        <v>6000</v>
      </c>
    </row>
    <row r="5" spans="1:12">
      <c r="A5" t="s">
        <v>92</v>
      </c>
      <c r="B5" t="s">
        <v>74</v>
      </c>
      <c r="C5" t="s">
        <v>75</v>
      </c>
    </row>
    <row r="6" spans="1:12">
      <c r="A6" t="s">
        <v>93</v>
      </c>
      <c r="B6" t="s">
        <v>74</v>
      </c>
      <c r="C6" t="s">
        <v>75</v>
      </c>
      <c r="F6" s="23">
        <f>L6</f>
        <v>9024</v>
      </c>
      <c r="K6" s="28">
        <f>9*450</f>
        <v>4050</v>
      </c>
      <c r="L6" s="28">
        <f>0.8*188*60</f>
        <v>9024</v>
      </c>
    </row>
    <row r="7" spans="1:12">
      <c r="A7" s="9"/>
      <c r="B7" s="9"/>
      <c r="C7" s="9"/>
      <c r="D7" s="9"/>
      <c r="E7" s="9"/>
      <c r="F7" s="9"/>
      <c r="G7" s="9"/>
      <c r="H7" s="9"/>
      <c r="I7" s="9"/>
      <c r="J7" s="9"/>
      <c r="K7" s="9"/>
      <c r="L7" s="9"/>
    </row>
    <row r="8" spans="1:12">
      <c r="A8" s="9"/>
      <c r="B8" s="9"/>
      <c r="C8" s="9"/>
      <c r="D8" s="9"/>
      <c r="E8" s="9"/>
      <c r="F8" s="9"/>
      <c r="G8" s="9"/>
      <c r="H8" s="9"/>
      <c r="I8" s="9"/>
      <c r="J8" s="9"/>
      <c r="K8" s="9"/>
      <c r="L8" s="9"/>
    </row>
    <row r="9" spans="1:12">
      <c r="A9" s="1" t="s">
        <v>94</v>
      </c>
    </row>
    <row r="14" spans="1:12">
      <c r="A14" s="30" t="s">
        <v>95</v>
      </c>
      <c r="B14" s="5" t="s">
        <v>96</v>
      </c>
      <c r="C14" s="5" t="s">
        <v>97</v>
      </c>
      <c r="D14" s="5"/>
      <c r="E14" s="5"/>
      <c r="F14" s="5"/>
    </row>
    <row r="15" spans="1:12" ht="39.6">
      <c r="A15" s="3" t="s">
        <v>98</v>
      </c>
      <c r="B15" s="57">
        <f>(1300*C15/10000)*1000</f>
        <v>19500</v>
      </c>
      <c r="C15" s="8">
        <v>150</v>
      </c>
      <c r="D15" s="5"/>
      <c r="E15" s="5"/>
      <c r="F15" s="5"/>
    </row>
    <row r="16" spans="1:12">
      <c r="A16" s="3" t="s">
        <v>99</v>
      </c>
      <c r="B16" s="57">
        <f>(1300*C16/10000)*1000</f>
        <v>162500</v>
      </c>
      <c r="C16" s="64">
        <f>50*25</f>
        <v>1250</v>
      </c>
      <c r="D16" s="5"/>
      <c r="E16" s="5"/>
      <c r="F16" s="5"/>
    </row>
    <row r="17" spans="1:12" ht="39.6">
      <c r="A17" s="3" t="s">
        <v>100</v>
      </c>
      <c r="B17" s="5"/>
      <c r="C17" s="5"/>
      <c r="D17" s="5"/>
      <c r="E17" s="5"/>
      <c r="F17" s="5"/>
    </row>
    <row r="18" spans="1:12">
      <c r="A18" s="5"/>
      <c r="B18" s="5"/>
      <c r="C18" s="5"/>
      <c r="D18" s="5"/>
      <c r="E18" s="5"/>
      <c r="F18" s="5"/>
    </row>
    <row r="20" spans="1:12">
      <c r="A20" s="9"/>
      <c r="B20" s="9"/>
      <c r="C20" s="9"/>
      <c r="D20" s="9"/>
      <c r="E20" s="9"/>
      <c r="F20" s="9"/>
      <c r="G20" s="9"/>
      <c r="H20" s="9"/>
      <c r="I20" s="9"/>
      <c r="J20" s="9"/>
      <c r="K20" s="9"/>
      <c r="L20" s="9"/>
    </row>
    <row r="21" spans="1:12">
      <c r="A21" s="5" t="s">
        <v>101</v>
      </c>
    </row>
    <row r="22" spans="1:12">
      <c r="A22" t="s">
        <v>102</v>
      </c>
    </row>
    <row r="23" spans="1:12">
      <c r="A23" s="52" t="s">
        <v>103</v>
      </c>
    </row>
    <row r="24" spans="1:12">
      <c r="A24" s="52" t="s">
        <v>104</v>
      </c>
    </row>
    <row r="25" spans="1:12">
      <c r="A25" s="52" t="s">
        <v>105</v>
      </c>
    </row>
    <row r="26" spans="1:12">
      <c r="A26" s="9"/>
      <c r="B26" s="9"/>
      <c r="C26" s="9"/>
      <c r="D26" s="9"/>
      <c r="E26" s="9"/>
      <c r="F26" s="9"/>
      <c r="G26" s="9"/>
      <c r="H26" s="9"/>
      <c r="I26" s="9"/>
      <c r="J26" s="9"/>
      <c r="K26" s="9"/>
      <c r="L26" s="9"/>
    </row>
    <row r="27" spans="1:12">
      <c r="A27" s="5" t="s">
        <v>106</v>
      </c>
    </row>
    <row r="28" spans="1:12" ht="39.6">
      <c r="A28" s="3" t="s">
        <v>107</v>
      </c>
    </row>
    <row r="30" spans="1:12">
      <c r="A30" s="9"/>
      <c r="B30" s="9"/>
      <c r="C30" s="9"/>
      <c r="D30" s="9"/>
      <c r="E30" s="9"/>
      <c r="F30" s="9"/>
      <c r="G30" s="9"/>
      <c r="H30" s="9"/>
      <c r="I30" s="9"/>
      <c r="J30" s="9"/>
      <c r="K30" s="9"/>
      <c r="L30" s="9"/>
    </row>
    <row r="31" spans="1:12">
      <c r="A31" s="5" t="s">
        <v>108</v>
      </c>
    </row>
    <row r="32" spans="1:12">
      <c r="A32" t="s">
        <v>109</v>
      </c>
    </row>
    <row r="33" spans="1:12">
      <c r="A33" t="s">
        <v>110</v>
      </c>
    </row>
    <row r="34" spans="1:12">
      <c r="A34" s="9"/>
      <c r="B34" s="9"/>
      <c r="C34" s="9"/>
      <c r="D34" s="9"/>
      <c r="E34" s="9"/>
      <c r="F34" s="9"/>
      <c r="G34" s="9"/>
      <c r="H34" s="9"/>
      <c r="I34" s="9"/>
      <c r="J34" s="9"/>
      <c r="K34" s="9"/>
      <c r="L34" s="9"/>
    </row>
    <row r="35" spans="1:12">
      <c r="A35" s="10" t="s">
        <v>111</v>
      </c>
    </row>
    <row r="36" spans="1:12">
      <c r="A36" s="51" t="s">
        <v>112</v>
      </c>
    </row>
    <row r="37" spans="1:12" ht="45" customHeight="1">
      <c r="A37" s="105" t="s">
        <v>113</v>
      </c>
      <c r="B37" s="105"/>
      <c r="C37" s="105"/>
      <c r="D37" s="105"/>
      <c r="E37" s="105"/>
      <c r="F37" s="105"/>
      <c r="G37" s="105"/>
      <c r="H37" s="105"/>
      <c r="I37" s="105"/>
      <c r="J37" s="105"/>
      <c r="K37" s="105"/>
      <c r="L37" s="105"/>
    </row>
    <row r="38" spans="1:12" ht="45" customHeight="1">
      <c r="A38" s="21" t="s">
        <v>114</v>
      </c>
      <c r="B38" s="22"/>
      <c r="C38" s="22"/>
      <c r="D38" s="22"/>
      <c r="E38" s="22"/>
      <c r="F38" s="22"/>
      <c r="G38" s="22"/>
      <c r="H38" s="22"/>
      <c r="I38" s="22"/>
      <c r="J38" s="22"/>
      <c r="K38" s="22"/>
      <c r="L38" s="22"/>
    </row>
    <row r="39" spans="1:12" ht="45" customHeight="1">
      <c r="A39" s="21" t="s">
        <v>115</v>
      </c>
      <c r="B39" s="20"/>
      <c r="C39" s="20"/>
      <c r="D39" s="20"/>
      <c r="E39" s="20"/>
      <c r="F39" s="20"/>
      <c r="G39" s="20"/>
      <c r="H39" s="20"/>
      <c r="I39" s="20"/>
      <c r="J39" s="20"/>
      <c r="K39" s="20"/>
      <c r="L39" s="20"/>
    </row>
    <row r="40" spans="1:12">
      <c r="A40" s="26" t="s">
        <v>116</v>
      </c>
      <c r="B40" s="20"/>
      <c r="C40" s="20"/>
      <c r="D40" s="20"/>
      <c r="E40" s="20"/>
      <c r="F40" s="20"/>
      <c r="G40" s="20"/>
      <c r="H40" s="20"/>
      <c r="I40" s="20"/>
      <c r="J40" s="20"/>
      <c r="K40" s="20"/>
      <c r="L40" s="20"/>
    </row>
    <row r="41" spans="1:12">
      <c r="A41" s="17" t="s">
        <v>117</v>
      </c>
    </row>
    <row r="42" spans="1:12">
      <c r="A42" s="17" t="s">
        <v>118</v>
      </c>
    </row>
    <row r="43" spans="1:12">
      <c r="A43" s="17" t="s">
        <v>119</v>
      </c>
    </row>
    <row r="46" spans="1:12">
      <c r="A46" s="10" t="s">
        <v>120</v>
      </c>
    </row>
    <row r="47" spans="1:12">
      <c r="A47" s="18" t="s">
        <v>121</v>
      </c>
    </row>
    <row r="48" spans="1:12">
      <c r="A48" s="18" t="s">
        <v>122</v>
      </c>
    </row>
    <row r="49" spans="1:1">
      <c r="A49" s="10"/>
    </row>
    <row r="51" spans="1:1">
      <c r="A51" s="19" t="s">
        <v>123</v>
      </c>
    </row>
    <row r="52" spans="1:1">
      <c r="A52" s="17" t="s">
        <v>124</v>
      </c>
    </row>
    <row r="53" spans="1:1">
      <c r="A53" s="17" t="s">
        <v>125</v>
      </c>
    </row>
    <row r="54" spans="1:1">
      <c r="A54" t="s">
        <v>126</v>
      </c>
    </row>
    <row r="55" spans="1:1">
      <c r="A55" t="s">
        <v>127</v>
      </c>
    </row>
  </sheetData>
  <mergeCells count="1">
    <mergeCell ref="A37:L37"/>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686A-2993-43DA-800F-AEE75FBC3A53}">
  <dimension ref="A1:I51"/>
  <sheetViews>
    <sheetView workbookViewId="0">
      <selection activeCell="E10" sqref="E10"/>
    </sheetView>
  </sheetViews>
  <sheetFormatPr defaultRowHeight="13.15"/>
  <cols>
    <col min="1" max="1" width="39" customWidth="1"/>
    <col min="4" max="9" width="17.7109375" customWidth="1"/>
  </cols>
  <sheetData>
    <row r="1" spans="1:9" ht="17.45">
      <c r="A1" s="4" t="s">
        <v>128</v>
      </c>
      <c r="D1" s="5">
        <v>2023</v>
      </c>
      <c r="E1" s="5">
        <v>2023</v>
      </c>
      <c r="F1" s="5">
        <v>2025</v>
      </c>
      <c r="G1" s="5">
        <v>2025</v>
      </c>
      <c r="H1" s="5">
        <v>2030</v>
      </c>
      <c r="I1" s="5">
        <v>2030</v>
      </c>
    </row>
    <row r="2" spans="1:9" s="8" customFormat="1">
      <c r="A2" s="5" t="s">
        <v>87</v>
      </c>
      <c r="B2" s="5" t="s">
        <v>88</v>
      </c>
      <c r="C2" s="5" t="s">
        <v>89</v>
      </c>
      <c r="D2" s="5" t="s">
        <v>72</v>
      </c>
      <c r="E2" s="5" t="s">
        <v>73</v>
      </c>
      <c r="F2" s="5" t="s">
        <v>72</v>
      </c>
      <c r="G2" s="5" t="s">
        <v>73</v>
      </c>
      <c r="H2" s="5" t="s">
        <v>72</v>
      </c>
      <c r="I2" s="5" t="s">
        <v>73</v>
      </c>
    </row>
    <row r="3" spans="1:9">
      <c r="A3" t="s">
        <v>129</v>
      </c>
      <c r="B3" t="s">
        <v>130</v>
      </c>
      <c r="C3">
        <v>250</v>
      </c>
      <c r="E3">
        <v>250</v>
      </c>
    </row>
    <row r="4" spans="1:9">
      <c r="A4" t="s">
        <v>131</v>
      </c>
    </row>
    <row r="6" spans="1:9">
      <c r="A6" s="1" t="s">
        <v>132</v>
      </c>
    </row>
    <row r="7" spans="1:9">
      <c r="A7" t="s">
        <v>133</v>
      </c>
      <c r="G7">
        <f>1*60</f>
        <v>60</v>
      </c>
      <c r="I7">
        <f>2*60*0.8</f>
        <v>96</v>
      </c>
    </row>
    <row r="8" spans="1:9">
      <c r="A8" t="s">
        <v>134</v>
      </c>
      <c r="G8">
        <v>17</v>
      </c>
      <c r="I8">
        <v>17</v>
      </c>
    </row>
    <row r="9" spans="1:9">
      <c r="A9" t="s">
        <v>135</v>
      </c>
      <c r="F9">
        <f>5*150</f>
        <v>750</v>
      </c>
      <c r="G9" s="27">
        <f>(63/2*60)*0.8</f>
        <v>1512</v>
      </c>
      <c r="H9">
        <f>6*150</f>
        <v>900</v>
      </c>
      <c r="I9">
        <f>63*60*0.8</f>
        <v>3024</v>
      </c>
    </row>
    <row r="10" spans="1:9" ht="26.45">
      <c r="A10" s="47" t="s">
        <v>136</v>
      </c>
    </row>
    <row r="11" spans="1:9">
      <c r="A11" s="29" t="s">
        <v>137</v>
      </c>
      <c r="B11" s="9"/>
      <c r="C11" s="9"/>
      <c r="D11" s="9"/>
      <c r="E11" s="9"/>
      <c r="F11" s="32">
        <f>SUM(F3:F10)</f>
        <v>750</v>
      </c>
      <c r="G11" s="32">
        <f>SUM(G3:G10)</f>
        <v>1589</v>
      </c>
      <c r="H11" s="32">
        <f>SUM(H3:H10)</f>
        <v>900</v>
      </c>
      <c r="I11" s="32">
        <f>SUM(I3:I10)</f>
        <v>3137</v>
      </c>
    </row>
    <row r="12" spans="1:9">
      <c r="A12" s="5" t="s">
        <v>95</v>
      </c>
      <c r="B12" s="5"/>
      <c r="C12" s="5"/>
    </row>
    <row r="14" spans="1:9">
      <c r="A14" s="9"/>
      <c r="B14" s="9"/>
      <c r="C14" s="9"/>
      <c r="D14" s="9"/>
      <c r="E14" s="9"/>
      <c r="F14" s="9"/>
      <c r="G14" s="9"/>
      <c r="H14" s="9"/>
      <c r="I14" s="9"/>
    </row>
    <row r="15" spans="1:9">
      <c r="A15" s="5" t="s">
        <v>101</v>
      </c>
    </row>
    <row r="16" spans="1:9">
      <c r="A16" t="s">
        <v>138</v>
      </c>
    </row>
    <row r="18" spans="1:9">
      <c r="A18" s="9"/>
      <c r="B18" s="9"/>
      <c r="C18" s="9"/>
      <c r="D18" s="9"/>
      <c r="E18" s="9"/>
      <c r="F18" s="9"/>
      <c r="G18" s="9"/>
      <c r="H18" s="9"/>
      <c r="I18" s="9"/>
    </row>
    <row r="19" spans="1:9">
      <c r="A19" s="5" t="s">
        <v>106</v>
      </c>
    </row>
    <row r="20" spans="1:9" ht="26.45">
      <c r="A20" s="3" t="s">
        <v>107</v>
      </c>
    </row>
    <row r="21" spans="1:9">
      <c r="A21" s="19"/>
    </row>
    <row r="22" spans="1:9">
      <c r="A22" s="9"/>
      <c r="B22" s="9"/>
      <c r="C22" s="9"/>
      <c r="D22" s="9"/>
      <c r="E22" s="9"/>
      <c r="F22" s="9"/>
      <c r="G22" s="9"/>
      <c r="H22" s="9"/>
      <c r="I22" s="9"/>
    </row>
    <row r="23" spans="1:9">
      <c r="A23" s="5" t="s">
        <v>108</v>
      </c>
    </row>
    <row r="24" spans="1:9" ht="105.6">
      <c r="A24" s="3" t="s">
        <v>139</v>
      </c>
    </row>
    <row r="25" spans="1:9">
      <c r="A25" t="s">
        <v>140</v>
      </c>
    </row>
    <row r="26" spans="1:9">
      <c r="A26" t="s">
        <v>141</v>
      </c>
    </row>
    <row r="27" spans="1:9">
      <c r="A27" t="s">
        <v>142</v>
      </c>
    </row>
    <row r="28" spans="1:9">
      <c r="A28" s="9"/>
      <c r="B28" s="9"/>
      <c r="C28" s="9"/>
      <c r="D28" s="9"/>
      <c r="E28" s="9"/>
      <c r="F28" s="9"/>
      <c r="G28" s="9"/>
      <c r="H28" s="9"/>
      <c r="I28" s="9"/>
    </row>
    <row r="29" spans="1:9">
      <c r="A29" s="10" t="s">
        <v>111</v>
      </c>
    </row>
    <row r="30" spans="1:9">
      <c r="A30" t="s">
        <v>143</v>
      </c>
    </row>
    <row r="31" spans="1:9">
      <c r="A31" s="17" t="s">
        <v>144</v>
      </c>
    </row>
    <row r="32" spans="1:9">
      <c r="A32" s="17" t="s">
        <v>118</v>
      </c>
    </row>
    <row r="33" spans="1:9">
      <c r="A33" s="17" t="s">
        <v>119</v>
      </c>
    </row>
    <row r="34" spans="1:9">
      <c r="A34" s="9"/>
      <c r="B34" s="9"/>
      <c r="C34" s="9"/>
      <c r="D34" s="9"/>
      <c r="E34" s="9"/>
      <c r="F34" s="9"/>
      <c r="G34" s="9"/>
      <c r="H34" s="9"/>
      <c r="I34" s="9"/>
    </row>
    <row r="35" spans="1:9">
      <c r="A35" s="10" t="s">
        <v>120</v>
      </c>
    </row>
    <row r="36" spans="1:9">
      <c r="A36" t="s">
        <v>145</v>
      </c>
    </row>
    <row r="37" spans="1:9">
      <c r="A37" t="s">
        <v>146</v>
      </c>
    </row>
    <row r="38" spans="1:9">
      <c r="A38" s="25" t="s">
        <v>147</v>
      </c>
    </row>
    <row r="39" spans="1:9">
      <c r="A39" s="25" t="s">
        <v>148</v>
      </c>
    </row>
    <row r="40" spans="1:9">
      <c r="A40" s="25"/>
    </row>
    <row r="41" spans="1:9" s="7" customFormat="1" ht="14.45">
      <c r="A41" s="6" t="s">
        <v>149</v>
      </c>
      <c r="D41"/>
      <c r="E41"/>
      <c r="F41"/>
      <c r="G41"/>
      <c r="H41"/>
      <c r="I41"/>
    </row>
    <row r="42" spans="1:9" s="7" customFormat="1" ht="14.45">
      <c r="A42" s="6"/>
      <c r="D42"/>
      <c r="E42"/>
      <c r="F42"/>
      <c r="G42"/>
      <c r="H42"/>
      <c r="I42"/>
    </row>
    <row r="43" spans="1:9" s="7" customFormat="1" ht="14.45">
      <c r="A43" s="6" t="s">
        <v>150</v>
      </c>
      <c r="D43"/>
      <c r="E43"/>
      <c r="F43"/>
      <c r="G43"/>
      <c r="H43"/>
      <c r="I43"/>
    </row>
    <row r="44" spans="1:9" s="7" customFormat="1" ht="14.45">
      <c r="A44" s="6" t="s">
        <v>151</v>
      </c>
      <c r="D44"/>
      <c r="E44"/>
      <c r="F44"/>
      <c r="G44"/>
      <c r="H44"/>
      <c r="I44"/>
    </row>
    <row r="45" spans="1:9" s="7" customFormat="1" ht="14.45">
      <c r="A45" s="6" t="s">
        <v>152</v>
      </c>
      <c r="D45"/>
      <c r="E45"/>
      <c r="F45"/>
      <c r="G45"/>
      <c r="H45"/>
      <c r="I45"/>
    </row>
    <row r="46" spans="1:9" s="7" customFormat="1" ht="14.45">
      <c r="A46" s="6" t="s">
        <v>153</v>
      </c>
      <c r="D46"/>
      <c r="E46"/>
      <c r="F46"/>
      <c r="G46"/>
      <c r="H46"/>
      <c r="I46"/>
    </row>
    <row r="47" spans="1:9" s="7" customFormat="1">
      <c r="D47"/>
      <c r="E47"/>
      <c r="F47"/>
      <c r="G47"/>
      <c r="H47"/>
      <c r="I47"/>
    </row>
    <row r="48" spans="1:9" ht="14.45">
      <c r="A48" s="2"/>
    </row>
    <row r="50" spans="1:1" ht="14.45">
      <c r="A50" s="2"/>
    </row>
    <row r="51" spans="1:1" ht="14.45">
      <c r="A51" s="2"/>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F9A3-2B92-4EB7-BDB0-A1BEB67C4C96}">
  <dimension ref="A1:I43"/>
  <sheetViews>
    <sheetView workbookViewId="0">
      <selection activeCell="D4" sqref="D4"/>
    </sheetView>
  </sheetViews>
  <sheetFormatPr defaultRowHeight="13.15"/>
  <cols>
    <col min="1" max="1" width="35.7109375" customWidth="1"/>
    <col min="2" max="2" width="11.28515625" bestFit="1" customWidth="1"/>
    <col min="4" max="9" width="21" customWidth="1"/>
  </cols>
  <sheetData>
    <row r="1" spans="1:9" ht="17.45">
      <c r="A1" s="4" t="s">
        <v>154</v>
      </c>
      <c r="D1" s="5">
        <v>2023</v>
      </c>
      <c r="E1" s="5">
        <v>2023</v>
      </c>
      <c r="F1" s="5">
        <v>2025</v>
      </c>
      <c r="G1" s="5">
        <v>2025</v>
      </c>
      <c r="H1" s="5">
        <v>2030</v>
      </c>
      <c r="I1" s="5">
        <v>2030</v>
      </c>
    </row>
    <row r="2" spans="1:9" s="8" customFormat="1">
      <c r="A2" s="5" t="s">
        <v>87</v>
      </c>
      <c r="B2" s="5" t="s">
        <v>88</v>
      </c>
      <c r="C2" s="5" t="s">
        <v>89</v>
      </c>
      <c r="D2" s="5" t="s">
        <v>72</v>
      </c>
      <c r="E2" s="5" t="s">
        <v>73</v>
      </c>
      <c r="F2" s="5" t="s">
        <v>72</v>
      </c>
      <c r="G2" s="5" t="s">
        <v>73</v>
      </c>
      <c r="H2" s="5" t="s">
        <v>72</v>
      </c>
      <c r="I2" s="5" t="s">
        <v>73</v>
      </c>
    </row>
    <row r="3" spans="1:9">
      <c r="A3" t="s">
        <v>155</v>
      </c>
      <c r="D3" s="23">
        <f>((B35*50/1000)/1000)*2040</f>
        <v>293.45400000000001</v>
      </c>
      <c r="F3" s="44">
        <f>D3</f>
        <v>293.45400000000001</v>
      </c>
      <c r="H3" s="44">
        <f>F3</f>
        <v>293.45400000000001</v>
      </c>
    </row>
    <row r="4" spans="1:9">
      <c r="A4" s="77" t="s">
        <v>156</v>
      </c>
      <c r="D4" s="28">
        <f>B35*50</f>
        <v>143850</v>
      </c>
    </row>
    <row r="5" spans="1:9">
      <c r="A5" s="9"/>
      <c r="B5" s="9"/>
      <c r="C5" s="9"/>
      <c r="D5" s="9"/>
      <c r="E5" s="9"/>
      <c r="F5" s="9"/>
      <c r="G5" s="9"/>
      <c r="H5" s="9"/>
      <c r="I5" s="9"/>
    </row>
    <row r="6" spans="1:9">
      <c r="A6" s="5" t="s">
        <v>95</v>
      </c>
      <c r="B6" s="5" t="s">
        <v>96</v>
      </c>
      <c r="C6" s="5"/>
      <c r="D6" s="17"/>
    </row>
    <row r="7" spans="1:9">
      <c r="A7" t="s">
        <v>157</v>
      </c>
      <c r="B7" s="57">
        <f>(B35/2)*13000/100</f>
        <v>187005</v>
      </c>
      <c r="C7" s="5"/>
      <c r="D7" s="17"/>
    </row>
    <row r="8" spans="1:9">
      <c r="A8" t="s">
        <v>158</v>
      </c>
      <c r="B8" s="57">
        <f>((B35/2)+B37+B38+B39+B43)*13000/100</f>
        <v>5491265</v>
      </c>
      <c r="C8" s="5"/>
      <c r="D8" s="17"/>
    </row>
    <row r="9" spans="1:9" ht="26.45">
      <c r="A9" s="3" t="s">
        <v>100</v>
      </c>
      <c r="B9" s="57">
        <f>((B35/2)+B37+B38+B39+B43+B36+B40)*13000/100</f>
        <v>6537765</v>
      </c>
      <c r="C9" s="5"/>
      <c r="D9" s="17"/>
    </row>
    <row r="11" spans="1:9">
      <c r="A11" s="9"/>
      <c r="B11" s="9"/>
      <c r="C11" s="9"/>
      <c r="D11" s="9"/>
      <c r="E11" s="9"/>
      <c r="F11" s="9"/>
      <c r="G11" s="9"/>
      <c r="H11" s="9"/>
      <c r="I11" s="9"/>
    </row>
    <row r="12" spans="1:9">
      <c r="A12" s="5" t="s">
        <v>101</v>
      </c>
      <c r="D12" s="17" t="s">
        <v>159</v>
      </c>
    </row>
    <row r="15" spans="1:9">
      <c r="A15" s="9"/>
      <c r="B15" s="9"/>
      <c r="C15" s="9"/>
      <c r="D15" s="9"/>
      <c r="E15" s="9"/>
      <c r="F15" s="9"/>
      <c r="G15" s="9"/>
      <c r="H15" s="9"/>
      <c r="I15" s="9"/>
    </row>
    <row r="16" spans="1:9">
      <c r="A16" s="5" t="s">
        <v>106</v>
      </c>
    </row>
    <row r="17" spans="1:9">
      <c r="A17" t="s">
        <v>160</v>
      </c>
    </row>
    <row r="19" spans="1:9">
      <c r="A19" s="9"/>
      <c r="B19" s="9"/>
      <c r="C19" s="9"/>
      <c r="D19" s="9"/>
      <c r="E19" s="9"/>
      <c r="F19" s="9"/>
      <c r="G19" s="9"/>
      <c r="H19" s="9"/>
      <c r="I19" s="9"/>
    </row>
    <row r="20" spans="1:9">
      <c r="A20" s="5" t="s">
        <v>108</v>
      </c>
    </row>
    <row r="21" spans="1:9">
      <c r="A21" t="s">
        <v>161</v>
      </c>
    </row>
    <row r="22" spans="1:9">
      <c r="A22" s="9"/>
      <c r="B22" s="9"/>
      <c r="C22" s="9"/>
      <c r="D22" s="9"/>
      <c r="E22" s="9"/>
      <c r="F22" s="9"/>
      <c r="G22" s="9"/>
      <c r="H22" s="9"/>
      <c r="I22" s="9"/>
    </row>
    <row r="23" spans="1:9">
      <c r="A23" s="10" t="s">
        <v>111</v>
      </c>
    </row>
    <row r="24" spans="1:9">
      <c r="A24" s="43" t="s">
        <v>162</v>
      </c>
    </row>
    <row r="25" spans="1:9">
      <c r="A25" s="25" t="s">
        <v>163</v>
      </c>
    </row>
    <row r="26" spans="1:9">
      <c r="A26" s="17" t="s">
        <v>164</v>
      </c>
    </row>
    <row r="27" spans="1:9">
      <c r="A27" s="10" t="s">
        <v>165</v>
      </c>
    </row>
    <row r="28" spans="1:9">
      <c r="A28" s="10" t="s">
        <v>166</v>
      </c>
    </row>
    <row r="29" spans="1:9">
      <c r="A29" t="s">
        <v>167</v>
      </c>
    </row>
    <row r="33" spans="1:5" ht="13.9" thickBot="1">
      <c r="E33" s="1" t="s">
        <v>168</v>
      </c>
    </row>
    <row r="34" spans="1:5" ht="29.45" thickBot="1">
      <c r="A34" s="11" t="s">
        <v>169</v>
      </c>
      <c r="B34" s="12" t="s">
        <v>170</v>
      </c>
      <c r="C34" s="12" t="s">
        <v>171</v>
      </c>
      <c r="D34" s="12" t="s">
        <v>172</v>
      </c>
    </row>
    <row r="35" spans="1:5" ht="72.599999999999994" thickBot="1">
      <c r="A35" s="13" t="s">
        <v>173</v>
      </c>
      <c r="B35" s="14">
        <v>2877</v>
      </c>
      <c r="C35" s="15" t="s">
        <v>174</v>
      </c>
      <c r="D35" s="15" t="s">
        <v>175</v>
      </c>
    </row>
    <row r="36" spans="1:5" ht="29.45" thickBot="1">
      <c r="A36" s="13" t="s">
        <v>176</v>
      </c>
      <c r="B36" s="14">
        <v>7000</v>
      </c>
      <c r="C36" s="15" t="s">
        <v>177</v>
      </c>
      <c r="D36" s="15" t="s">
        <v>178</v>
      </c>
    </row>
    <row r="37" spans="1:5" ht="58.15" thickBot="1">
      <c r="A37" s="13" t="s">
        <v>179</v>
      </c>
      <c r="B37" s="14">
        <v>9262</v>
      </c>
      <c r="C37" s="15" t="s">
        <v>174</v>
      </c>
      <c r="D37" s="15" t="s">
        <v>180</v>
      </c>
    </row>
    <row r="38" spans="1:5" ht="115.9" thickBot="1">
      <c r="A38" s="13" t="s">
        <v>181</v>
      </c>
      <c r="B38" s="14">
        <v>11620</v>
      </c>
      <c r="C38" s="15" t="s">
        <v>182</v>
      </c>
      <c r="D38" s="15" t="s">
        <v>183</v>
      </c>
    </row>
    <row r="39" spans="1:5" ht="159" thickBot="1">
      <c r="A39" s="13" t="s">
        <v>184</v>
      </c>
      <c r="B39" s="14">
        <v>9920</v>
      </c>
      <c r="C39" s="15" t="s">
        <v>185</v>
      </c>
      <c r="D39" s="15" t="s">
        <v>186</v>
      </c>
    </row>
    <row r="40" spans="1:5" ht="43.9" thickBot="1">
      <c r="A40" s="13" t="s">
        <v>187</v>
      </c>
      <c r="B40" s="14">
        <v>1050</v>
      </c>
      <c r="C40" s="15" t="s">
        <v>174</v>
      </c>
      <c r="D40" s="15" t="s">
        <v>188</v>
      </c>
    </row>
    <row r="41" spans="1:5" ht="101.45" thickBot="1">
      <c r="A41" s="13" t="s">
        <v>189</v>
      </c>
      <c r="B41" s="14">
        <v>12500</v>
      </c>
      <c r="C41" s="15" t="s">
        <v>190</v>
      </c>
      <c r="D41" s="15" t="s">
        <v>191</v>
      </c>
    </row>
    <row r="42" spans="1:5" ht="87" thickBot="1">
      <c r="A42" s="13" t="s">
        <v>192</v>
      </c>
      <c r="B42" s="14">
        <v>5000</v>
      </c>
      <c r="C42" s="15" t="s">
        <v>193</v>
      </c>
      <c r="D42" s="15" t="s">
        <v>194</v>
      </c>
    </row>
    <row r="43" spans="1:5" ht="72.599999999999994" thickBot="1">
      <c r="A43" s="13" t="s">
        <v>195</v>
      </c>
      <c r="B43" s="14">
        <v>10000</v>
      </c>
      <c r="C43" s="15" t="s">
        <v>196</v>
      </c>
      <c r="D43" s="15" t="s">
        <v>197</v>
      </c>
    </row>
  </sheetData>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92EBF-4330-418C-9084-882CDE4FCA33}">
  <dimension ref="A1:I32"/>
  <sheetViews>
    <sheetView workbookViewId="0">
      <selection activeCell="F10" sqref="F10"/>
    </sheetView>
  </sheetViews>
  <sheetFormatPr defaultRowHeight="13.15"/>
  <cols>
    <col min="1" max="1" width="37.28515625" customWidth="1"/>
    <col min="2" max="2" width="9.28515625" bestFit="1" customWidth="1"/>
    <col min="4" max="9" width="19.28515625" customWidth="1"/>
  </cols>
  <sheetData>
    <row r="1" spans="1:9" ht="17.45">
      <c r="A1" s="4" t="s">
        <v>198</v>
      </c>
      <c r="D1" s="5">
        <v>2023</v>
      </c>
      <c r="E1" s="5">
        <v>2023</v>
      </c>
      <c r="F1" s="5">
        <v>2025</v>
      </c>
      <c r="G1" s="5">
        <v>2025</v>
      </c>
      <c r="H1" s="5">
        <v>2030</v>
      </c>
      <c r="I1" s="5">
        <v>2030</v>
      </c>
    </row>
    <row r="2" spans="1:9" s="8" customFormat="1">
      <c r="A2" s="5" t="s">
        <v>87</v>
      </c>
      <c r="B2" s="5" t="s">
        <v>88</v>
      </c>
      <c r="C2" s="5" t="s">
        <v>89</v>
      </c>
      <c r="D2" s="5" t="s">
        <v>72</v>
      </c>
      <c r="E2" s="5" t="s">
        <v>73</v>
      </c>
      <c r="F2" s="5" t="s">
        <v>72</v>
      </c>
      <c r="G2" s="5" t="s">
        <v>73</v>
      </c>
      <c r="H2" s="5" t="s">
        <v>72</v>
      </c>
      <c r="I2" s="5" t="s">
        <v>73</v>
      </c>
    </row>
    <row r="3" spans="1:9">
      <c r="A3" s="3" t="s">
        <v>79</v>
      </c>
      <c r="B3" s="27">
        <v>2000</v>
      </c>
    </row>
    <row r="4" spans="1:9" ht="26.45">
      <c r="A4" s="3" t="s">
        <v>199</v>
      </c>
      <c r="F4">
        <f>0.5*5*200</f>
        <v>500</v>
      </c>
      <c r="H4">
        <f>0.35*55*200</f>
        <v>3850</v>
      </c>
    </row>
    <row r="5" spans="1:9">
      <c r="A5" s="29" t="s">
        <v>2</v>
      </c>
      <c r="B5" s="34">
        <v>1000</v>
      </c>
      <c r="C5" s="29"/>
      <c r="D5" s="34">
        <f>B5</f>
        <v>1000</v>
      </c>
      <c r="E5" s="29"/>
      <c r="F5" s="34">
        <f>$B$5+F4</f>
        <v>1500</v>
      </c>
      <c r="G5" s="34"/>
      <c r="H5" s="34">
        <f>$B$5+H4</f>
        <v>4850</v>
      </c>
      <c r="I5" s="34">
        <f>$B$5+I4</f>
        <v>1000</v>
      </c>
    </row>
    <row r="6" spans="1:9">
      <c r="A6" s="5" t="s">
        <v>95</v>
      </c>
      <c r="B6" s="27">
        <v>2000</v>
      </c>
      <c r="C6" s="5"/>
    </row>
    <row r="8" spans="1:9">
      <c r="A8" s="9"/>
      <c r="B8" s="9"/>
      <c r="C8" s="9"/>
      <c r="D8" s="9"/>
      <c r="E8" s="9"/>
      <c r="F8" s="9"/>
      <c r="G8" s="9"/>
      <c r="H8" s="9"/>
      <c r="I8" s="9"/>
    </row>
    <row r="9" spans="1:9">
      <c r="A9" s="5" t="s">
        <v>101</v>
      </c>
    </row>
    <row r="12" spans="1:9">
      <c r="A12" s="9"/>
      <c r="B12" s="9"/>
      <c r="C12" s="9"/>
      <c r="D12" s="9"/>
      <c r="E12" s="9"/>
      <c r="F12" s="9"/>
      <c r="G12" s="9"/>
      <c r="H12" s="9"/>
      <c r="I12" s="9"/>
    </row>
    <row r="13" spans="1:9">
      <c r="A13" s="5" t="s">
        <v>106</v>
      </c>
    </row>
    <row r="15" spans="1:9">
      <c r="A15" s="17"/>
    </row>
    <row r="16" spans="1:9">
      <c r="A16" s="9"/>
      <c r="B16" s="9"/>
      <c r="C16" s="9"/>
      <c r="D16" s="9"/>
      <c r="E16" s="9"/>
      <c r="F16" s="9"/>
      <c r="G16" s="9"/>
      <c r="H16" s="9"/>
      <c r="I16" s="9"/>
    </row>
    <row r="17" spans="1:9">
      <c r="A17" s="5" t="s">
        <v>108</v>
      </c>
    </row>
    <row r="18" spans="1:9">
      <c r="A18" t="s">
        <v>200</v>
      </c>
    </row>
    <row r="19" spans="1:9">
      <c r="A19" s="21" t="s">
        <v>201</v>
      </c>
    </row>
    <row r="20" spans="1:9">
      <c r="A20" t="s">
        <v>202</v>
      </c>
    </row>
    <row r="22" spans="1:9">
      <c r="A22" s="9"/>
      <c r="B22" s="9"/>
      <c r="C22" s="9"/>
      <c r="D22" s="9"/>
      <c r="E22" s="9"/>
      <c r="F22" s="9"/>
      <c r="G22" s="9"/>
      <c r="H22" s="9"/>
      <c r="I22" s="9"/>
    </row>
    <row r="23" spans="1:9">
      <c r="A23" s="10" t="s">
        <v>111</v>
      </c>
    </row>
    <row r="24" spans="1:9">
      <c r="A24" s="51" t="s">
        <v>203</v>
      </c>
    </row>
    <row r="25" spans="1:9">
      <c r="A25" s="51" t="s">
        <v>204</v>
      </c>
    </row>
    <row r="26" spans="1:9">
      <c r="A26" s="17" t="s">
        <v>205</v>
      </c>
    </row>
    <row r="27" spans="1:9">
      <c r="A27" s="17" t="s">
        <v>206</v>
      </c>
    </row>
    <row r="28" spans="1:9">
      <c r="A28" s="1" t="s">
        <v>207</v>
      </c>
    </row>
    <row r="29" spans="1:9">
      <c r="A29" t="s">
        <v>208</v>
      </c>
    </row>
    <row r="30" spans="1:9">
      <c r="A30" t="s">
        <v>209</v>
      </c>
    </row>
    <row r="31" spans="1:9">
      <c r="A31" t="s">
        <v>210</v>
      </c>
    </row>
    <row r="32" spans="1:9">
      <c r="A32" s="17" t="s">
        <v>211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5677E-2C73-4CCD-BD14-4ED2C593E9D7}">
  <dimension ref="A1:I31"/>
  <sheetViews>
    <sheetView workbookViewId="0">
      <selection activeCell="A3" sqref="A3"/>
    </sheetView>
  </sheetViews>
  <sheetFormatPr defaultRowHeight="13.15"/>
  <cols>
    <col min="1" max="1" width="26.7109375" customWidth="1"/>
    <col min="2" max="2" width="19.28515625" customWidth="1"/>
    <col min="3" max="3" width="12.7109375" bestFit="1" customWidth="1"/>
    <col min="4" max="9" width="20.5703125" customWidth="1"/>
  </cols>
  <sheetData>
    <row r="1" spans="1:9" ht="17.45">
      <c r="A1" s="4" t="s">
        <v>212</v>
      </c>
      <c r="D1" s="5">
        <v>2023</v>
      </c>
      <c r="E1" s="5">
        <v>2023</v>
      </c>
      <c r="F1" s="5">
        <v>2025</v>
      </c>
      <c r="G1" s="5">
        <v>2025</v>
      </c>
      <c r="H1" s="5">
        <v>2030</v>
      </c>
      <c r="I1" s="5">
        <v>2030</v>
      </c>
    </row>
    <row r="2" spans="1:9" s="8" customFormat="1">
      <c r="A2" s="5" t="s">
        <v>87</v>
      </c>
      <c r="B2" s="5" t="s">
        <v>88</v>
      </c>
      <c r="C2" s="5" t="s">
        <v>89</v>
      </c>
      <c r="D2" s="5" t="s">
        <v>72</v>
      </c>
      <c r="E2" s="5" t="s">
        <v>73</v>
      </c>
      <c r="F2" s="5" t="s">
        <v>72</v>
      </c>
      <c r="G2" s="5" t="s">
        <v>73</v>
      </c>
      <c r="H2" s="5" t="s">
        <v>72</v>
      </c>
      <c r="I2" s="5" t="s">
        <v>73</v>
      </c>
    </row>
    <row r="3" spans="1:9" ht="26.45">
      <c r="A3" s="3" t="s">
        <v>213</v>
      </c>
    </row>
    <row r="4" spans="1:9">
      <c r="A4" t="s">
        <v>214</v>
      </c>
      <c r="H4" s="40">
        <f>B24</f>
        <v>0</v>
      </c>
      <c r="I4" s="40">
        <f>B24</f>
        <v>0</v>
      </c>
    </row>
    <row r="5" spans="1:9">
      <c r="A5" s="9"/>
      <c r="B5" s="9"/>
      <c r="C5" s="9"/>
      <c r="D5" s="9" t="s">
        <v>215</v>
      </c>
      <c r="E5" s="9"/>
      <c r="F5" s="9"/>
      <c r="G5" s="9" t="s">
        <v>216</v>
      </c>
      <c r="H5" s="9"/>
      <c r="I5" s="9"/>
    </row>
    <row r="6" spans="1:9">
      <c r="A6" s="5" t="s">
        <v>217</v>
      </c>
      <c r="B6">
        <v>1285</v>
      </c>
      <c r="C6" s="5"/>
    </row>
    <row r="7" spans="1:9" ht="28.9">
      <c r="A7" s="24" t="s">
        <v>218</v>
      </c>
    </row>
    <row r="8" spans="1:9">
      <c r="A8" s="9"/>
      <c r="B8" s="9"/>
      <c r="C8" s="9"/>
      <c r="D8" s="9"/>
      <c r="E8" s="9"/>
      <c r="F8" s="9"/>
      <c r="G8" s="9"/>
      <c r="H8" s="9"/>
      <c r="I8" s="9"/>
    </row>
    <row r="9" spans="1:9">
      <c r="A9" s="5" t="s">
        <v>219</v>
      </c>
      <c r="B9">
        <v>2500</v>
      </c>
    </row>
    <row r="12" spans="1:9">
      <c r="A12" s="9"/>
      <c r="B12" s="9"/>
      <c r="C12" s="9"/>
      <c r="D12" s="9"/>
      <c r="E12" s="9"/>
      <c r="F12" s="9"/>
      <c r="G12" s="9"/>
      <c r="H12" s="9"/>
      <c r="I12" s="9"/>
    </row>
    <row r="13" spans="1:9">
      <c r="A13" s="5" t="s">
        <v>106</v>
      </c>
    </row>
    <row r="15" spans="1:9">
      <c r="A15" s="17"/>
    </row>
    <row r="16" spans="1:9">
      <c r="A16" s="9"/>
      <c r="B16" s="9"/>
      <c r="C16" s="9"/>
      <c r="D16" s="9"/>
      <c r="E16" s="9"/>
      <c r="F16" s="9"/>
      <c r="G16" s="9"/>
      <c r="H16" s="9"/>
      <c r="I16" s="9"/>
    </row>
    <row r="17" spans="1:9">
      <c r="A17" s="5" t="s">
        <v>108</v>
      </c>
    </row>
    <row r="18" spans="1:9">
      <c r="A18" t="s">
        <v>220</v>
      </c>
    </row>
    <row r="19" spans="1:9">
      <c r="A19" s="9"/>
      <c r="B19" s="9"/>
      <c r="C19" s="9"/>
      <c r="D19" s="9"/>
      <c r="E19" s="9"/>
      <c r="F19" s="9"/>
      <c r="G19" s="9"/>
      <c r="H19" s="9"/>
      <c r="I19" s="9"/>
    </row>
    <row r="20" spans="1:9">
      <c r="A20" s="10" t="s">
        <v>111</v>
      </c>
    </row>
    <row r="21" spans="1:9" ht="16.149999999999999">
      <c r="A21" s="56" t="s">
        <v>221</v>
      </c>
      <c r="B21" s="17"/>
      <c r="C21" s="17"/>
      <c r="D21" t="s">
        <v>222</v>
      </c>
      <c r="E21" s="27"/>
    </row>
    <row r="22" spans="1:9">
      <c r="A22" s="25" t="s">
        <v>223</v>
      </c>
      <c r="B22" s="17"/>
      <c r="C22" s="17"/>
      <c r="D22" t="s">
        <v>224</v>
      </c>
    </row>
    <row r="23" spans="1:9">
      <c r="A23" s="25" t="s">
        <v>225</v>
      </c>
      <c r="B23" s="17"/>
      <c r="C23" s="17"/>
      <c r="D23" s="40" t="s">
        <v>226</v>
      </c>
      <c r="E23" s="40"/>
    </row>
    <row r="24" spans="1:9">
      <c r="A24" s="25" t="s">
        <v>227</v>
      </c>
      <c r="B24" s="57"/>
      <c r="C24" s="8"/>
    </row>
    <row r="25" spans="1:9">
      <c r="A25" s="54"/>
      <c r="B25" s="53"/>
      <c r="C25" s="55"/>
    </row>
    <row r="26" spans="1:9">
      <c r="A26" s="1" t="s">
        <v>68</v>
      </c>
    </row>
    <row r="27" spans="1:9">
      <c r="A27" s="1" t="s">
        <v>228</v>
      </c>
    </row>
    <row r="28" spans="1:9">
      <c r="A28" t="s">
        <v>229</v>
      </c>
    </row>
    <row r="29" spans="1:9">
      <c r="A29" t="s">
        <v>230</v>
      </c>
    </row>
    <row r="30" spans="1:9">
      <c r="A30" t="s">
        <v>231</v>
      </c>
    </row>
    <row r="31" spans="1:9">
      <c r="A31" t="s">
        <v>232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7F0AB-27D2-423C-9CEB-9AF5BFD6795B}">
  <dimension ref="A1:I27"/>
  <sheetViews>
    <sheetView workbookViewId="0">
      <selection activeCell="B6" sqref="B6"/>
    </sheetView>
  </sheetViews>
  <sheetFormatPr defaultRowHeight="13.15"/>
  <cols>
    <col min="1" max="1" width="29.5703125" customWidth="1"/>
    <col min="2" max="3" width="13.28515625" customWidth="1"/>
    <col min="4" max="9" width="18.28515625" customWidth="1"/>
  </cols>
  <sheetData>
    <row r="1" spans="1:9" ht="17.45">
      <c r="A1" s="4" t="s">
        <v>233</v>
      </c>
      <c r="D1" s="5">
        <v>2023</v>
      </c>
      <c r="E1" s="5">
        <v>2023</v>
      </c>
      <c r="F1" s="5">
        <v>2025</v>
      </c>
      <c r="G1" s="5">
        <v>2025</v>
      </c>
      <c r="H1" s="5">
        <v>2030</v>
      </c>
      <c r="I1" s="5">
        <v>2030</v>
      </c>
    </row>
    <row r="2" spans="1:9" s="8" customFormat="1">
      <c r="A2" s="5" t="s">
        <v>2</v>
      </c>
      <c r="B2" s="5" t="s">
        <v>88</v>
      </c>
      <c r="C2" s="5" t="s">
        <v>89</v>
      </c>
      <c r="D2" s="5" t="s">
        <v>72</v>
      </c>
      <c r="E2" s="5" t="s">
        <v>73</v>
      </c>
      <c r="F2" s="5" t="s">
        <v>72</v>
      </c>
      <c r="G2" s="5" t="s">
        <v>73</v>
      </c>
      <c r="H2" s="5" t="s">
        <v>72</v>
      </c>
      <c r="I2" s="5" t="s">
        <v>73</v>
      </c>
    </row>
    <row r="3" spans="1:9">
      <c r="A3" t="s">
        <v>155</v>
      </c>
    </row>
    <row r="5" spans="1:9">
      <c r="A5" s="9"/>
      <c r="B5" s="9"/>
      <c r="C5" s="9"/>
      <c r="D5" s="9"/>
      <c r="E5" s="9"/>
      <c r="F5" s="9"/>
      <c r="G5" s="9"/>
      <c r="H5" s="9"/>
      <c r="I5" s="9"/>
    </row>
    <row r="6" spans="1:9">
      <c r="A6" s="5" t="s">
        <v>95</v>
      </c>
      <c r="B6" s="8" t="s">
        <v>83</v>
      </c>
      <c r="C6" s="5"/>
    </row>
    <row r="8" spans="1:9">
      <c r="A8" s="9"/>
      <c r="B8" s="9"/>
      <c r="C8" s="9"/>
      <c r="D8" s="9"/>
      <c r="E8" s="9"/>
      <c r="F8" s="9"/>
      <c r="G8" s="9"/>
      <c r="H8" s="9"/>
      <c r="I8" s="9"/>
    </row>
    <row r="9" spans="1:9">
      <c r="A9" s="5" t="s">
        <v>101</v>
      </c>
    </row>
    <row r="12" spans="1:9">
      <c r="A12" s="9"/>
      <c r="B12" s="9"/>
      <c r="C12" s="9"/>
      <c r="D12" s="9"/>
      <c r="E12" s="9"/>
      <c r="F12" s="9"/>
      <c r="G12" s="9"/>
      <c r="H12" s="9"/>
      <c r="I12" s="9"/>
    </row>
    <row r="13" spans="1:9">
      <c r="A13" s="5" t="s">
        <v>106</v>
      </c>
    </row>
    <row r="14" spans="1:9">
      <c r="A14" t="s">
        <v>160</v>
      </c>
    </row>
    <row r="15" spans="1:9">
      <c r="A15" s="9"/>
      <c r="B15" s="9"/>
      <c r="C15" s="9"/>
      <c r="D15" s="9"/>
      <c r="E15" s="9"/>
      <c r="F15" s="9"/>
      <c r="G15" s="9"/>
      <c r="H15" s="9"/>
      <c r="I15" s="9"/>
    </row>
    <row r="16" spans="1:9">
      <c r="A16" s="5" t="s">
        <v>108</v>
      </c>
    </row>
    <row r="17" spans="1:9">
      <c r="A17" t="s">
        <v>161</v>
      </c>
    </row>
    <row r="18" spans="1:9">
      <c r="A18" s="9"/>
      <c r="B18" s="9"/>
      <c r="C18" s="9"/>
      <c r="D18" s="9"/>
      <c r="E18" s="9"/>
      <c r="F18" s="9"/>
      <c r="G18" s="9"/>
      <c r="H18" s="9"/>
      <c r="I18" s="9"/>
    </row>
    <row r="19" spans="1:9">
      <c r="A19" s="10" t="s">
        <v>111</v>
      </c>
    </row>
    <row r="20" spans="1:9">
      <c r="A20" s="16"/>
    </row>
    <row r="21" spans="1:9">
      <c r="A21" s="16"/>
    </row>
    <row r="22" spans="1:9">
      <c r="A22" s="16"/>
    </row>
    <row r="24" spans="1:9">
      <c r="A24" s="18"/>
    </row>
    <row r="26" spans="1:9">
      <c r="A26" s="19" t="s">
        <v>234</v>
      </c>
    </row>
    <row r="27" spans="1:9">
      <c r="A27" s="18" t="s">
        <v>235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EDD0B356514D41AD0FCC6C061CFF7C" ma:contentTypeVersion="7" ma:contentTypeDescription="Een nieuw document maken." ma:contentTypeScope="" ma:versionID="1efb91ec4faad1fe1e6b902ab47990b3">
  <xsd:schema xmlns:xsd="http://www.w3.org/2001/XMLSchema" xmlns:xs="http://www.w3.org/2001/XMLSchema" xmlns:p="http://schemas.microsoft.com/office/2006/metadata/properties" xmlns:ns2="65d34a01-23b8-4ccf-a9d2-a40a6bef4fc2" targetNamespace="http://schemas.microsoft.com/office/2006/metadata/properties" ma:root="true" ma:fieldsID="b836e28f7d70571b1d2ae72dc63ab67b" ns2:_="">
    <xsd:import namespace="65d34a01-23b8-4ccf-a9d2-a40a6bef4fc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d34a01-23b8-4ccf-a9d2-a40a6bef4f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65D43F-05F8-40DE-B0A8-67240D41E493}"/>
</file>

<file path=customXml/itemProps2.xml><?xml version="1.0" encoding="utf-8"?>
<ds:datastoreItem xmlns:ds="http://schemas.openxmlformats.org/officeDocument/2006/customXml" ds:itemID="{599801E4-39AC-41DA-B633-786C5F2567FE}"/>
</file>

<file path=customXml/itemProps3.xml><?xml version="1.0" encoding="utf-8"?>
<ds:datastoreItem xmlns:ds="http://schemas.openxmlformats.org/officeDocument/2006/customXml" ds:itemID="{AE70A793-4920-40EF-ADD0-41278CD0B094}"/>
</file>

<file path=docProps/app.xml><?xml version="1.0" encoding="utf-8"?>
<Properties xmlns="http://schemas.openxmlformats.org/officeDocument/2006/extended-properties" xmlns:vt="http://schemas.openxmlformats.org/officeDocument/2006/docPropsVTypes">
  <Application>Microsoft Excel Online</Application>
  <Manager/>
  <Company>TBI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Postmus, M.J. (Marianne)</dc:creator>
  <cp:keywords/>
  <dc:description/>
  <cp:lastModifiedBy>Soni, A. (Anmol)</cp:lastModifiedBy>
  <cp:revision/>
  <dcterms:created xsi:type="dcterms:W3CDTF">2021-12-12T19:24:28Z</dcterms:created>
  <dcterms:modified xsi:type="dcterms:W3CDTF">2022-03-29T14:32:32Z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0x01010040EDD0B356514D41AD0FCC6C061CFF7C</vt:lpwstr>
  </property>
</Properties>
</file>