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jp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rawings/drawing3.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drawings/drawing4.xml" ContentType="application/vnd.openxmlformats-officedocument.drawing+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drawings/drawing5.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3"/>
  <workbookPr defaultThemeVersion="166925"/>
  <mc:AlternateContent xmlns:mc="http://schemas.openxmlformats.org/markup-compatibility/2006">
    <mc:Choice Requires="x15">
      <x15ac:absPath xmlns:x15ac="http://schemas.microsoft.com/office/spreadsheetml/2010/11/ac" url="/Users/localadmin/Documents/Modelling-Dutch-Energy-Communities/data/raw/"/>
    </mc:Choice>
  </mc:AlternateContent>
  <xr:revisionPtr revIDLastSave="0" documentId="13_ncr:1_{625E1C6E-F1AA-324B-8B79-E3DCA310132F}" xr6:coauthVersionLast="47" xr6:coauthVersionMax="47" xr10:uidLastSave="{00000000-0000-0000-0000-000000000000}"/>
  <bookViews>
    <workbookView xWindow="0" yWindow="0" windowWidth="28800" windowHeight="18000" firstSheet="1" activeTab="3" xr2:uid="{3C148C52-BE0F-45D1-9080-F4F0DEA9F8B4}"/>
  </bookViews>
  <sheets>
    <sheet name="Eerste conclusie" sheetId="15" r:id="rId1"/>
    <sheet name="Baseload" sheetId="11" r:id="rId2"/>
    <sheet name="Totaal vermogen" sheetId="10" r:id="rId3"/>
    <sheet name="Busremise" sheetId="1" r:id="rId4"/>
    <sheet name="Gemeente wagenpark" sheetId="2" r:id="rId5"/>
    <sheet name="Municipal Buildings" sheetId="3" r:id="rId6"/>
    <sheet name=" sligro" sheetId="4" r:id="rId7"/>
    <sheet name=" King&amp;#39;s drinks" sheetId="6" r:id="rId8"/>
    <sheet name=" Curio" sheetId="5" r:id="rId9"/>
    <sheet name=" Living Breburg" sheetId="8" r:id="rId10"/>
    <sheet name=" And of course" sheetId="9" r:id="rId11"/>
    <sheet name=" Bavel&amp;#39;s mountain" sheetId="7" r:id="rId12"/>
    <sheet name=" Numbers scenarios" sheetId="12" r:id="rId13"/>
    <sheet name=" Rules of thumb" sheetId="14" r:id="rId14"/>
  </sheets>
  <externalReferences>
    <externalReference r:id="rId15"/>
    <externalReference r:id="rId16"/>
  </externalReferenc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8" i="15" l="1"/>
  <c r="F6" i="15"/>
  <c r="H6" i="15" s="1"/>
  <c r="D8" i="10"/>
  <c r="F8" i="10" s="1"/>
  <c r="F8" i="15"/>
  <c r="H8" i="15" s="1"/>
  <c r="B8" i="3"/>
  <c r="E8" i="10" l="1"/>
  <c r="E31" i="10" s="1"/>
  <c r="G8" i="15"/>
  <c r="G10" i="15" s="1"/>
  <c r="E8" i="15"/>
  <c r="C10" i="15"/>
  <c r="D10" i="15"/>
  <c r="E10" i="15"/>
  <c r="F10" i="15"/>
  <c r="H10" i="15"/>
  <c r="D4" i="3"/>
  <c r="B16" i="1"/>
  <c r="C16" i="1"/>
  <c r="B15" i="1"/>
  <c r="B9" i="3"/>
  <c r="B7" i="3"/>
  <c r="F7" i="12"/>
  <c r="E7" i="12"/>
  <c r="F13" i="14"/>
  <c r="E13" i="14"/>
  <c r="F6" i="12"/>
  <c r="L5" i="12"/>
  <c r="J5" i="12" s="1"/>
  <c r="M3" i="12"/>
  <c r="H3" i="12" s="1"/>
  <c r="J3" i="12"/>
  <c r="J6" i="12" s="1"/>
  <c r="H6" i="12" s="1"/>
  <c r="F3" i="12"/>
  <c r="H4" i="4"/>
  <c r="K21" i="10" s="1"/>
  <c r="F4" i="4"/>
  <c r="I21" i="10" s="1"/>
  <c r="J4" i="1"/>
  <c r="I4" i="6"/>
  <c r="H4" i="6"/>
  <c r="D15" i="10"/>
  <c r="E15" i="10"/>
  <c r="F15" i="10"/>
  <c r="G15" i="10"/>
  <c r="H15" i="10"/>
  <c r="I15" i="10"/>
  <c r="J15" i="10"/>
  <c r="K15" i="10"/>
  <c r="L15" i="10"/>
  <c r="G16" i="10"/>
  <c r="D17" i="10"/>
  <c r="E17" i="10"/>
  <c r="F17" i="10"/>
  <c r="G17" i="10"/>
  <c r="H17" i="10"/>
  <c r="I17" i="10"/>
  <c r="J17" i="10"/>
  <c r="K17" i="10"/>
  <c r="L17" i="10"/>
  <c r="H18" i="10"/>
  <c r="J18" i="10"/>
  <c r="L18" i="10"/>
  <c r="H21" i="10"/>
  <c r="J21" i="10"/>
  <c r="J34" i="10" s="1"/>
  <c r="L21" i="10"/>
  <c r="G21" i="10"/>
  <c r="B11" i="11"/>
  <c r="B9" i="11"/>
  <c r="J36" i="10"/>
  <c r="I36" i="10"/>
  <c r="G28" i="10"/>
  <c r="H28" i="10"/>
  <c r="I28" i="10"/>
  <c r="J28" i="10"/>
  <c r="K28" i="10"/>
  <c r="L28" i="10"/>
  <c r="G29" i="10"/>
  <c r="G30" i="10"/>
  <c r="H30" i="10"/>
  <c r="I30" i="10"/>
  <c r="J30" i="10"/>
  <c r="K30" i="10"/>
  <c r="L30" i="10"/>
  <c r="H31" i="10"/>
  <c r="J31" i="10"/>
  <c r="L31" i="10"/>
  <c r="L36" i="10"/>
  <c r="D28" i="10"/>
  <c r="E28" i="10"/>
  <c r="F28" i="10"/>
  <c r="D30" i="10"/>
  <c r="E30" i="10"/>
  <c r="F30" i="10"/>
  <c r="F31" i="10"/>
  <c r="D31" i="10"/>
  <c r="H3" i="3"/>
  <c r="F3" i="3"/>
  <c r="D3" i="3"/>
  <c r="K3" i="12" l="1"/>
  <c r="E6" i="12" s="1"/>
  <c r="F18" i="10"/>
  <c r="M5" i="12"/>
  <c r="F5" i="12"/>
  <c r="E3" i="12"/>
  <c r="K34" i="10"/>
  <c r="F21" i="10"/>
  <c r="F34" i="10" s="1"/>
  <c r="E21" i="10"/>
  <c r="E34" i="10" s="1"/>
  <c r="I34" i="10"/>
  <c r="L34" i="10"/>
  <c r="E18" i="10"/>
  <c r="K36" i="10"/>
  <c r="D18" i="10"/>
  <c r="I8" i="10"/>
  <c r="G8" i="10"/>
  <c r="K8" i="10"/>
  <c r="L4" i="10"/>
  <c r="K4" i="10"/>
  <c r="H3" i="1"/>
  <c r="H4" i="10" s="1"/>
  <c r="D5" i="4"/>
  <c r="I5" i="4"/>
  <c r="H5" i="4"/>
  <c r="F5" i="4"/>
  <c r="K6" i="10"/>
  <c r="K16" i="10" s="1"/>
  <c r="I6" i="10"/>
  <c r="D6" i="10"/>
  <c r="D16" i="10" s="1"/>
  <c r="J4" i="10"/>
  <c r="I4" i="10"/>
  <c r="G4" i="10"/>
  <c r="E4" i="1"/>
  <c r="E4" i="10" s="1"/>
  <c r="F6" i="1"/>
  <c r="F4" i="10" s="1"/>
  <c r="D4" i="10"/>
  <c r="H11" i="2"/>
  <c r="F11" i="2"/>
  <c r="H9" i="2"/>
  <c r="F9" i="2"/>
  <c r="I11" i="2"/>
  <c r="F6" i="10" s="1"/>
  <c r="G11" i="2"/>
  <c r="E6" i="10" s="1"/>
  <c r="G7" i="2"/>
  <c r="I7" i="2"/>
  <c r="I9" i="2"/>
  <c r="G9" i="2"/>
  <c r="L10" i="10" l="1"/>
  <c r="K10" i="10"/>
  <c r="E5" i="12"/>
  <c r="H5" i="12"/>
  <c r="J14" i="10"/>
  <c r="J10" i="10"/>
  <c r="D14" i="10"/>
  <c r="D23" i="10" s="1"/>
  <c r="D10" i="10"/>
  <c r="G14" i="10"/>
  <c r="G10" i="10"/>
  <c r="F14" i="10"/>
  <c r="F10" i="10"/>
  <c r="E14" i="10"/>
  <c r="E10" i="10"/>
  <c r="I14" i="10"/>
  <c r="I10" i="10"/>
  <c r="L27" i="10"/>
  <c r="L14" i="10"/>
  <c r="K31" i="10"/>
  <c r="K18" i="10"/>
  <c r="I29" i="10"/>
  <c r="I16" i="10"/>
  <c r="G31" i="10"/>
  <c r="G18" i="10"/>
  <c r="I31" i="10"/>
  <c r="I18" i="10"/>
  <c r="E29" i="10"/>
  <c r="E16" i="10"/>
  <c r="F29" i="10"/>
  <c r="F16" i="10"/>
  <c r="H27" i="10"/>
  <c r="H14" i="10"/>
  <c r="K27" i="10"/>
  <c r="K14" i="10"/>
  <c r="L6" i="10"/>
  <c r="J6" i="10"/>
  <c r="D27" i="10"/>
  <c r="K29" i="10"/>
  <c r="J27" i="10"/>
  <c r="G27" i="10"/>
  <c r="I27" i="10"/>
  <c r="F27" i="10"/>
  <c r="E27" i="10"/>
  <c r="H6" i="10"/>
  <c r="H10" i="10" s="1"/>
  <c r="D29" i="10"/>
  <c r="F38" i="10" l="1"/>
  <c r="G23" i="10"/>
  <c r="F23" i="10"/>
  <c r="E23" i="10"/>
  <c r="J29" i="10"/>
  <c r="J16" i="10"/>
  <c r="J23" i="10" s="1"/>
  <c r="K23" i="10"/>
  <c r="L29" i="10"/>
  <c r="L16" i="10"/>
  <c r="L23" i="10" s="1"/>
  <c r="I23" i="10"/>
  <c r="H16" i="10"/>
  <c r="H23" i="10" s="1"/>
  <c r="I38" i="10"/>
  <c r="G38" i="10"/>
  <c r="D38" i="10"/>
  <c r="J38" i="10"/>
  <c r="E38" i="10"/>
  <c r="H29" i="10"/>
  <c r="H38" i="10" s="1"/>
  <c r="K6" i="1"/>
  <c r="L6" i="1"/>
  <c r="G3" i="1"/>
  <c r="I4"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tc={DF955AD6-25B5-4A9A-B490-D604743B60B6}</author>
    <author>tc={5C36E7C3-A746-4D5D-9CFD-3E86BF755481}</author>
    <author>tc={F891E3C5-1593-4A40-9307-FD0EB3CE9547}</author>
    <author>tc={1877B87B-7BEA-4FC2-87C6-050B76695CC9}</author>
    <author>tc={BBA8F675-B9A3-44B2-A754-E4DABE3A4979}</author>
    <author>tc={6423E355-55BA-4A25-856F-6B4E148C8DD5}</author>
    <author>tc={E4991B48-6296-400E-A3F9-7E8FAD561573}</author>
  </authors>
  <commentList>
    <comment ref="D3" authorId="0" shapeId="0" xr:uid="{DF955AD6-25B5-4A9A-B490-D604743B60B6}">
      <text>
        <t>[Threaded comment]
Your version of Excel allows you to read this threaded comment; however, any edits to it will get removed if the file is opened in a newer version of Excel. Learn more: https://go.microsoft.com/fwlink/?linkid=870924
Comment:
    Document Zero Emissie Breda</t>
      </text>
    </comment>
    <comment ref="G3" authorId="1" shapeId="0" xr:uid="{5C36E7C3-A746-4D5D-9CFD-3E86BF755481}">
      <text>
        <t>[Threaded comment]
Your version of Excel allows you to read this threaded comment; however, any edits to it will get removed if the file is opened in a newer version of Excel. Learn more: https://go.microsoft.com/fwlink/?linkid=870924
Comment:
    3*450 KW 3 laders pantograaf</t>
      </text>
    </comment>
    <comment ref="I4" authorId="2" shapeId="0" xr:uid="{F891E3C5-1593-4A40-9307-FD0EB3CE9547}">
      <text>
        <t>[Threaded comment]
Your version of Excel allows you to read this threaded comment; however, any edits to it will get removed if the file is opened in a newer version of Excel. Learn more: https://go.microsoft.com/fwlink/?linkid=870924
Comment:
    6*450 KW</t>
      </text>
    </comment>
    <comment ref="J4" authorId="3" shapeId="0" xr:uid="{1877B87B-7BEA-4FC2-87C6-050B76695CC9}">
      <text>
        <t>[Threaded comment]
Your version of Excel allows you to read this threaded comment; however, any edits to it will get removed if the file is opened in a newer version of Excel. Learn more: https://go.microsoft.com/fwlink/?linkid=870924
Comment:
    100*60 KW</t>
      </text>
    </comment>
    <comment ref="K6" authorId="4" shapeId="0" xr:uid="{BBA8F675-B9A3-44B2-A754-E4DABE3A4979}">
      <text>
        <t>[Threaded comment]
Your version of Excel allows you to read this threaded comment; however, any edits to it will get removed if the file is opened in a newer version of Excel. Learn more: https://go.microsoft.com/fwlink/?linkid=870924
Comment:
    9 snelladers 450 KW</t>
      </text>
    </comment>
    <comment ref="L6" authorId="5" shapeId="0" xr:uid="{6423E355-55BA-4A25-856F-6B4E148C8DD5}">
      <text>
        <t>[Threaded comment]
Your version of Excel allows you to read this threaded comment; however, any edits to it will get removed if the file is opened in a newer version of Excel. Learn more: https://go.microsoft.com/fwlink/?linkid=870924
Comment:
    80% 188 bussen laad 'nachts</t>
      </text>
    </comment>
    <comment ref="C16" authorId="6" shapeId="0" xr:uid="{E4991B48-6296-400E-A3F9-7E8FAD561573}">
      <text>
        <t>[Threaded comment]
Your version of Excel allows you to read this threaded comment; however, any edits to it will get removed if the file is opened in a newer version of Excel. Learn more: https://go.microsoft.com/fwlink/?linkid=870924
Comment:
    200 meter * 100 meter (Google maps); ruimte voor zon inschatting 50*25 m</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tc={2A013E22-3594-43F1-9D3D-33870FE898DE}</author>
    <author>tc={9FF6FF89-A817-45E1-AE69-A26B1256A6B2}</author>
    <author>tc={6606A4A0-E1F2-448D-9C0B-A58B60056178}</author>
    <author>tc={A1EFE863-A495-42E4-A92B-80FA7535C119}</author>
  </authors>
  <commentList>
    <comment ref="F9" authorId="0" shapeId="0" xr:uid="{2A013E22-3594-43F1-9D3D-33870FE898DE}">
      <text>
        <t>[Threaded comment]
Your version of Excel allows you to read this threaded comment; however, any edits to it will get removed if the file is opened in a newer version of Excel. Learn more: https://go.microsoft.com/fwlink/?linkid=870924
Comment:
    4 snelladers</t>
      </text>
    </comment>
    <comment ref="G9" authorId="1" shapeId="0" xr:uid="{9FF6FF89-A817-45E1-AE69-A26B1256A6B2}">
      <text>
        <t>[Threaded comment]
Your version of Excel allows you to read this threaded comment; however, any edits to it will get removed if the file is opened in a newer version of Excel. Learn more: https://go.microsoft.com/fwlink/?linkid=870924
Comment:
    Stel in 2025 de helft elektrisch; 80% laadt in de nacht</t>
      </text>
    </comment>
    <comment ref="H9" authorId="2" shapeId="0" xr:uid="{6606A4A0-E1F2-448D-9C0B-A58B60056178}">
      <text>
        <t>[Threaded comment]
Your version of Excel allows you to read this threaded comment; however, any edits to it will get removed if the file is opened in a newer version of Excel. Learn more: https://go.microsoft.com/fwlink/?linkid=870924
Comment:
    6 snelladers</t>
      </text>
    </comment>
    <comment ref="I9" authorId="3" shapeId="0" xr:uid="{A1EFE863-A495-42E4-A92B-80FA7535C119}">
      <text>
        <t>[Threaded comment]
Your version of Excel allows you to read this threaded comment; however, any edits to it will get removed if the file is opened in a newer version of Excel. Learn more: https://go.microsoft.com/fwlink/?linkid=870924
Comment:
    Volledige vloot vrachtwagens elektrisch; 80% in de nacht gelijktijdig</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tc={EA886A34-5BF4-4C28-9143-221A0C970F79}</author>
    <author>tc={D9C854D7-673F-448E-AC9B-D7159FA57CEF}</author>
  </authors>
  <commentList>
    <comment ref="D3" authorId="0" shapeId="0" xr:uid="{EA886A34-5BF4-4C28-9143-221A0C970F79}">
      <text>
        <t>[Threaded comment]
Your version of Excel allows you to read this threaded comment; however, any edits to it will get removed if the file is opened in a newer version of Excel. Learn more: https://go.microsoft.com/fwlink/?linkid=870924
Comment:
    Verbruik kantoor oppervlakte volgens BENG</t>
      </text>
    </comment>
    <comment ref="B7" authorId="1" shapeId="0" xr:uid="{D9C854D7-673F-448E-AC9B-D7159FA57CEF}">
      <text>
        <t>[Threaded comment]
Your version of Excel allows you to read this threaded comment; however, any edits to it will get removed if the file is opened in a newer version of Excel. Learn more: https://go.microsoft.com/fwlink/?linkid=870924
Comment:
    Kantoorruimte dak / 2 (indien gestapeld)</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tc={1EA89683-6B67-4D50-ADB6-F0A75805337F}</author>
    <author>tc={543FCA0B-7C31-42F7-B75F-8E4BB4034F26}</author>
  </authors>
  <commentList>
    <comment ref="F4" authorId="0" shapeId="0" xr:uid="{1EA89683-6B67-4D50-ADB6-F0A75805337F}">
      <text>
        <t>[Threaded comment]
Your version of Excel allows you to read this threaded comment; however, any edits to it will get removed if the file is opened in a newer version of Excel. Learn more: https://go.microsoft.com/fwlink/?linkid=870924
Comment:
    50% vrachtwagens een snellader 200 KW</t>
      </text>
    </comment>
    <comment ref="H4" authorId="1" shapeId="0" xr:uid="{543FCA0B-7C31-42F7-B75F-8E4BB4034F26}">
      <text>
        <t>[Threaded comment]
Your version of Excel allows you to read this threaded comment; however, any edits to it will get removed if the file is opened in a newer version of Excel. Learn more: https://go.microsoft.com/fwlink/?linkid=870924
Comment:
    100% vrachtwagens een snellader 200 KW</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tc={4BB8D61A-749E-4C71-9AC6-929C27D92827}</author>
    <author>tc={BC5DB127-5220-48C0-B8FD-F45DC3985614}</author>
    <author>tc={C30C395E-4FEE-44CE-85EF-220D6013CF50}</author>
    <author>tc={7BEC6822-45D7-4D07-8617-A27D8D329661}</author>
    <author>tc={47830F81-8D1F-4AEE-8B4D-85669EDC5477}</author>
    <author>tc={1A592525-1FB4-45D0-9E8C-39E742094C22}</author>
    <author>tc={2835926F-7D52-42FF-B0DE-FF7947A27E1D}</author>
    <author>tc={7FABC665-934C-4866-A399-1F5B5D0E6809}</author>
    <author>tc={55732FE9-AB0E-4876-BD99-829EE84C1DA7}</author>
    <author>tc={D269B65A-9381-4ED9-8CAA-E2916245073C}</author>
    <author>tc={6DE2A2C6-45AF-43DD-9FCA-D15E18DFA774}</author>
    <author>tc={793F3783-CCFB-4C87-9E65-2B7F2690E546}</author>
    <author>tc={ABBCF2BD-AAF0-474D-9786-FE57E4D2B0C1}</author>
    <author>tc={94DB6615-DC5D-4EC4-B399-B3DD91CFD735}</author>
    <author>tc={A9967915-0E68-4CAD-A5C2-944190ACE984}</author>
    <author>tc={6F68480C-1AF1-4D5F-AE9A-E3897B1AD40C}</author>
    <author>tc={836E3C8C-1204-4585-A2A2-D1A2C6B1A84E}</author>
  </authors>
  <commentList>
    <comment ref="E2" authorId="0" shapeId="0" xr:uid="{4BB8D61A-749E-4C71-9AC6-929C27D92827}">
      <text>
        <t>[Threaded comment]
Your version of Excel allows you to read this threaded comment; however, any edits to it will get removed if the file is opened in a newer version of Excel. Learn more: https://go.microsoft.com/fwlink/?linkid=870924
Comment:
    Inschatting van maatwerk extra 8 MW</t>
      </text>
    </comment>
    <comment ref="E3" authorId="1" shapeId="0" xr:uid="{BC5DB127-5220-48C0-B8FD-F45DC3985614}">
      <text>
        <t>[Threaded comment]
Your version of Excel allows you to read this threaded comment; however, any edits to it will get removed if the file is opened in a newer version of Excel. Learn more: https://go.microsoft.com/fwlink/?linkid=870924
Comment:
    Stroomtarief 15 cent per kWh; indien opwek gelijk is aan gebruik. Na 7,5 jaar gaat zonopwek renderen. 2,5 levert het geld op tijdens de looptijd van 10 jaar
Zie vuistregel 6</t>
      </text>
    </comment>
    <comment ref="F3" authorId="2" shapeId="0" xr:uid="{C30C395E-4FEE-44CE-85EF-220D6013CF50}">
      <text>
        <t>[Threaded comment]
Your version of Excel allows you to read this threaded comment; however, any edits to it will get removed if the file is opened in a newer version of Excel. Learn more: https://go.microsoft.com/fwlink/?linkid=870924
Comment:
    Aantal panelen mogelijk * kosten per paneel
Zie vuistregel 3</t>
      </text>
    </comment>
    <comment ref="G3" authorId="3" shapeId="0" xr:uid="{7BEC6822-45D7-4D07-8617-A27D8D329661}">
      <text>
        <t>[Threaded comment]
Your version of Excel allows you to read this threaded comment; however, any edits to it will get removed if the file is opened in a newer version of Excel. Learn more: https://go.microsoft.com/fwlink/?linkid=870924
Comment:
    Zie vuistregel 4</t>
      </text>
    </comment>
    <comment ref="H3" authorId="4" shapeId="0" xr:uid="{47830F81-8D1F-4AEE-8B4D-85669EDC5477}">
      <text>
        <t>[Threaded comment]
Your version of Excel allows you to read this threaded comment; however, any edits to it will get removed if the file is opened in a newer version of Excel. Learn more: https://go.microsoft.com/fwlink/?linkid=870924
Comment:
    Zie vuistregel 5</t>
      </text>
    </comment>
    <comment ref="J3" authorId="5" shapeId="0" xr:uid="{1A592525-1FB4-45D0-9E8C-39E742094C22}">
      <text>
        <t>[Threaded comment]
Your version of Excel allows you to read this threaded comment; however, any edits to it will get removed if the file is opened in a newer version of Excel. Learn more: https://go.microsoft.com/fwlink/?linkid=870924
Comment:
    Zie vuistregel 7</t>
      </text>
    </comment>
    <comment ref="L3" authorId="6" shapeId="0" xr:uid="{2835926F-7D52-42FF-B0DE-FF7947A27E1D}">
      <text>
        <t>[Threaded comment]
Your version of Excel allows you to read this threaded comment; however, any edits to it will get removed if the file is opened in a newer version of Excel. Learn more: https://go.microsoft.com/fwlink/?linkid=870924
Comment:
    naar rato kantoorruimte gemeente; inschatting 50 medewerkers</t>
      </text>
    </comment>
    <comment ref="E5" authorId="7" shapeId="0" xr:uid="{7FABC665-934C-4866-A399-1F5B5D0E6809}">
      <text>
        <t>[Threaded comment]
Your version of Excel allows you to read this threaded comment; however, any edits to it will get removed if the file is opened in a newer version of Excel. Learn more: https://go.microsoft.com/fwlink/?linkid=870924
Comment:
    Stroomtarief 15 cent per kWh; indien opwek gelijk is aan gebruik. Na 7,5 jaar gaat zonopwek renderen. 2,5 levert het geld op tijdens de looptijd van 10 jaar
Zie vuistregel 6</t>
      </text>
    </comment>
    <comment ref="F5" authorId="8" shapeId="0" xr:uid="{55732FE9-AB0E-4876-BD99-829EE84C1DA7}">
      <text>
        <t>[Threaded comment]
Your version of Excel allows you to read this threaded comment; however, any edits to it will get removed if the file is opened in a newer version of Excel. Learn more: https://go.microsoft.com/fwlink/?linkid=870924
Comment:
    Aantal panelen mogelijk * kosten per paneel
Zie vuistregel 3</t>
      </text>
    </comment>
    <comment ref="G5" authorId="9" shapeId="0" xr:uid="{D269B65A-9381-4ED9-8CAA-E2916245073C}">
      <text>
        <t>[Threaded comment]
Your version of Excel allows you to read this threaded comment; however, any edits to it will get removed if the file is opened in a newer version of Excel. Learn more: https://go.microsoft.com/fwlink/?linkid=870924
Comment:
    Zie vuistregel 4</t>
      </text>
    </comment>
    <comment ref="H5" authorId="10" shapeId="0" xr:uid="{6DE2A2C6-45AF-43DD-9FCA-D15E18DFA774}">
      <text>
        <t>[Threaded comment]
Your version of Excel allows you to read this threaded comment; however, any edits to it will get removed if the file is opened in a newer version of Excel. Learn more: https://go.microsoft.com/fwlink/?linkid=870924
Comment:
    Zie vuistregel 5</t>
      </text>
    </comment>
    <comment ref="J5" authorId="11" shapeId="0" xr:uid="{793F3783-CCFB-4C87-9E65-2B7F2690E546}">
      <text>
        <t>[Threaded comment]
Your version of Excel allows you to read this threaded comment; however, any edits to it will get removed if the file is opened in a newer version of Excel. Learn more: https://go.microsoft.com/fwlink/?linkid=870924
Comment:
    Zie vuistregel 7</t>
      </text>
    </comment>
    <comment ref="L5" authorId="12" shapeId="0" xr:uid="{ABBCF2BD-AAF0-474D-9786-FE57E4D2B0C1}">
      <text>
        <t>[Threaded comment]
Your version of Excel allows you to read this threaded comment; however, any edits to it will get removed if the file is opened in a newer version of Excel. Learn more: https://go.microsoft.com/fwlink/?linkid=870924
Comment:
    200 meter * 100 meter (Google maps); ruimte voor zon inschatting 50*25 m</t>
      </text>
    </comment>
    <comment ref="E6" authorId="13" shapeId="0" xr:uid="{94DB6615-DC5D-4EC4-B399-B3DD91CFD735}">
      <text>
        <t>[Threaded comment]
Your version of Excel allows you to read this threaded comment; however, any edits to it will get removed if the file is opened in a newer version of Excel. Learn more: https://go.microsoft.com/fwlink/?linkid=870924
Comment:
    9% besparing op stroomkosten bij BREEAM comfort niveau</t>
      </text>
    </comment>
    <comment ref="H6" authorId="14" shapeId="0" xr:uid="{A9967915-0E68-4CAD-A5C2-944190ACE984}">
      <text>
        <t>[Threaded comment]
Your version of Excel allows you to read this threaded comment; however, any edits to it will get removed if the file is opened in a newer version of Excel. Learn more: https://go.microsoft.com/fwlink/?linkid=870924
Comment:
    Zie vuistregel 5</t>
      </text>
    </comment>
    <comment ref="E7" authorId="15" shapeId="0" xr:uid="{6F68480C-1AF1-4D5F-AE9A-E3897B1AD40C}">
      <text>
        <t>[Threaded comment]
Your version of Excel allows you to read this threaded comment; however, any edits to it will get removed if the file is opened in a newer version of Excel. Learn more: https://go.microsoft.com/fwlink/?linkid=870924
Comment:
    Stel dat de meerkosten voor de gemeente voor een 6 MVA aansluiting worden gedeeld met de Provincie. Gemeente heeft nb 3 MVA nodig</t>
      </text>
    </comment>
    <comment ref="F7" authorId="16" shapeId="0" xr:uid="{836E3C8C-1204-4585-A2A2-D1A2C6B1A84E}">
      <text>
        <t>[Threaded comment]
Your version of Excel allows you to read this threaded comment; however, any edits to it will get removed if the file is opened in a newer version of Excel. Learn more: https://go.microsoft.com/fwlink/?linkid=870924
Comment:
    Kosten 50 uur afstemming. PS; modelovereenkomst MLOEA vanuit NVDE beschikbaar</t>
      </text>
    </comment>
  </commentList>
</comments>
</file>

<file path=xl/sharedStrings.xml><?xml version="1.0" encoding="utf-8"?>
<sst xmlns="http://schemas.openxmlformats.org/spreadsheetml/2006/main" count="558" uniqueCount="361">
  <si>
    <t>Consumption</t>
  </si>
  <si>
    <t>peak value</t>
  </si>
  <si>
    <t>Consumption</t>
  </si>
  <si>
    <t>bus depot</t>
  </si>
  <si>
    <t>Municipal vehicle fleet</t>
  </si>
  <si>
    <t>Municipal offices</t>
  </si>
  <si>
    <t>sligro</t>
  </si>
  <si>
    <t>Housing Housing Breburg</t>
  </si>
  <si>
    <t>Total</t>
  </si>
  <si>
    <t>†</t>
  </si>
  <si>
    <t>27-1 tuning Paul. Housing: 150 homes*2500 kWh/1000. For the housing of 3750 MWh, I translate that into approximately 1000 homes with a consumption of 3500 to 4000 kWh per household per year. Each house gets an 8kVA = 1x 35A connection, but due to the inequality in load, some peak loads and otherwise low loads (around 10kWh per day) that is an average of 450W, with an average margin of 2x, or 3x this would equate to a connection to medium voltage level of 900kVA or 1350kVA.</t>
  </si>
  <si>
    <t>†</t>
  </si>
  <si>
    <t>27-`1 Attunement Paul. Consumption offices: 2877mm2 office at 50kWh/m2 = 143.85 MWh per year, gives a peak of 90 to 100kVA so a connection value 3x 160A 400V In the overview below I have calculated for the office as continuous operation. The peak value of 293kVA corresponds to a consumption of 500 MWh instead of 900MWh</t>
  </si>
  <si>
    <t>To generate all the necessary electrical energy with solar panels, approximately 3 panels of 350Wp . are needed</t>
  </si>
  <si>
    <t xml:space="preserve"> per MWh of energy required. So for 2023 more than 67,000 PV panels. More than 95,000 PV panels and . by 2025</t>
  </si>
  <si>
    <t>for 2030 more than 175,000 PV panels.</t>
  </si>
  <si>
    <t>If you do nothing, the peak power (= connection value) will follow the trend of the required, increasing amount</t>
  </si>
  <si>
    <t>electrical energy (Consumption in MWh per year)</t>
  </si>
  <si>
    <t>However, by not allowing all energy to run through the public network and, above all, by ensuring that during peak demand</t>
  </si>
  <si>
    <t>If it does not have to run via the public grid, the grid load = maximum connection value can be reduced.</t>
  </si>
  <si>
    <t>This can be done by smart charging and thus lowering the peaks (consumption optimisation) or by</t>
  </si>
  <si>
    <t>storage of solar energy at times when it is just needed and to use this stored energy at</t>
  </si>
  <si>
    <t>peak demand (supply optimization through temporary storage in batteries)</t>
  </si>
  <si>
    <t>The yield of PV panels depends on the position in relation to the sun. This already varies within the Netherlands,</t>
  </si>
  <si>
    <t>but also the angle at which the sun's rays are captured (the so-called Hespul table).</t>
  </si>
  <si>
    <t>In addition, the yield is seasonal.</t>
  </si>
  <si>
    <t xml:space="preserve"> The place in the Netherlands is fixed and the angle at which the sun's rays are caught can be</t>
  </si>
  <si>
    <t>Quarterly yield 1000 PV panels measured in 2020</t>
  </si>
  <si>
    <t xml:space="preserve"> optimized, but the distribution over the seasons remains variable.</t>
  </si>
  <si>
    <t>The consumption of electricity is probably the same every day for most users in this setting,</t>
  </si>
  <si>
    <t>but varies throughout the day (see 15-minute use bus charging station)</t>
  </si>
  <si>
    <t>If the heating of buildings via heat pumps is also electrically driven, the energy consumption will increase</t>
  </si>
  <si>
    <t>not only have a day/night rhythm, but also get a seasonal rhythm.</t>
  </si>
  <si>
    <t>The energy consumption for transport (buses and trucks) is likely to be much greater than the energy</t>
  </si>
  <si>
    <t>consumption for heating, making the daily rhythm of transport the main component in the</t>
  </si>
  <si>
    <t>energy consumption will continue. Both in summer and in winter.</t>
  </si>
  <si>
    <t>The day/night rhythm can be bridged in sunny periods with a temporary buffer (battery). It</t>
  </si>
  <si>
    <t>seasonal rhythm needs such a large temporary storage (saving summer generation for winter) that</t>
  </si>
  <si>
    <t>Quarterly use of bus charging station in 7 days, without taking into account the weekend</t>
  </si>
  <si>
    <t>the size of the battery is no longer economically viable. Battery size for bridging</t>
  </si>
  <si>
    <t>the day/night rhythm will have to be determined and then it can be seen whether this is economically feasible.</t>
  </si>
  <si>
    <t>Assuming a bus timetable that is the same throughout the year, 8.25% per month (1/12 of the year)</t>
  </si>
  <si>
    <t>of energy are required, while only 3% of the PV yield is generated in January and 13% in June.</t>
  </si>
  <si>
    <t>Average annual production of PV panels, spread over the months</t>
  </si>
  <si>
    <t>So for January you would need 8.25/3 = 2.75 times as many PV panels for sufficient energy, but then you would</t>
  </si>
  <si>
    <t>In addition to being clean, the goal of the energy transition is also reliable and affordable, especially for the latter</t>
  </si>
  <si>
    <t>in June 2.75*13/8.25 = 4.3 times more energy generation than necessary. But that also means 2.75 x 175000</t>
  </si>
  <si>
    <t>two further investigation is necessary. Over time, solutions will become cheaper, but a certain</t>
  </si>
  <si>
    <t>is more than 480,000 PV panels. You can never lose that (240 football fields full).</t>
  </si>
  <si>
    <t>level will never undercut it.</t>
  </si>
  <si>
    <t>With an annual consumption of 31,500 MWh of electricity, this means a daily consumption of more than 86 MWh. With an imbalance</t>
  </si>
  <si>
    <t>Research will be needed into a better estimate of consumption and the possibilities of reducing the imbalance</t>
  </si>
  <si>
    <t>between generation and consumption, half or a quarter of this energy will be stored in a battery (between April</t>
  </si>
  <si>
    <t>to recover. Hydrogen, battery, heat storage, extra flexible consumers, etc.</t>
  </si>
  <si>
    <t>and September) mean a battery of 20 to 40MWh (the real value will be from simulation calculations</t>
  </si>
  <si>
    <t>In addition, an optimal size of the solar park, so that optimal use can be made,</t>
  </si>
  <si>
    <t>have to be calculated). A 1MWh battery costs around €300,000 and is the size of a 40-foot</t>
  </si>
  <si>
    <t>without wasting energy, in combination with storage and purchasing of energy.</t>
  </si>
  <si>
    <t>shipping container. Just calculate how big a battery of 20 or 40MWh is and costs. These are not the solutions</t>
  </si>
  <si>
    <t>Zero on the meter without being able to feed back to the grid will most likely not be possible.</t>
  </si>
  <si>
    <t>that close the business.</t>
  </si>
  <si>
    <t>Connected load: For the 150 house connections for small temporary houses with an average consumption of 2500 kWh per year, the peak power per house is determined by the maximum consumers to be connected. The largest consumers are the washing machine (2.5 kW), the deep fryer (3 kW) and sometimes a coffee machine or other household appliance. In total, households are equipped with 1x35A = 8kVA or 3x 25A = 17.5kVA. The 1x35A (8kVA) is sufficient for most people, unless an extra large electric stove is installed with a connection value of, for example, 10kW. Since the basic principle is that gas is fired and heated, 8kVa per household is therefore sufficient. The attached example shows the performance of a random day of a household (my house) on a day that is not washed. There are short peaks when getting up (making coffee and tea) and when preparing dinner. The maximum of 8kW is far from being achieved here, but must be available for washing, ironing and other power guzzlers. Now not all people wash and fry at the same time, so the 8kW per household does not have to be multiplied by 150, but a simultaneity factor can be used. The total power that must be available for the 150 small homes is therefore much lower than 150 x 8kVA. Rather 10 to 20% of this value.</t>
  </si>
  <si>
    <t>CO2 emissions: According to the IPPC, the average emissions for electricity (Oct 2020) in the Netherlands is 397 gCO2eq/kWh based on the fact that electricity in the Netherlands mainly comes from gas, coal and wind turbines. On windy days, CO2 emissions drop to 250g/kWh. During wind-free working days, this can rise to above 500 g/kWh. According to the IPCC, emissions are also not zero for sustainable sources, because of the production of the necessary installations and their maintenance. For hydropower 24 gCO2eq/kWh; for wind 11 gCO2eq/kWh; for solar 45 gCO2eq/kWh; for biomass 230 gCO2eq/kWh and for nuclear 12 gCO2eq/kWh. There is therefore still a lot to be achieved by using the generation of electricity by solar panels. Zero on the meter is therefore not the same as zero CO2 emissions.</t>
  </si>
  <si>
    <t>BASELOAD GENERATION in area (in kW)</t>
  </si>
  <si>
    <t>Side</t>
  </si>
  <si>
    <t>bus depot</t>
  </si>
  <si>
    <t>Municipal buildings</t>
  </si>
  <si>
    <t xml:space="preserve"> sligro</t>
  </si>
  <si>
    <t>King's drinks</t>
  </si>
  <si>
    <r>
      <rPr>
        <b/>
        <sz val="14"/>
        <color rgb="FF7030A0"/>
        <rFont val="Arial"/>
        <family val="2"/>
      </rPr>
      <t>SCENARIO 1A</t>
    </r>
    <r>
      <rPr>
        <b/>
        <sz val="14"/>
        <color theme="1"/>
        <rFont val="Arial"/>
        <family val="2"/>
      </rPr>
      <t xml:space="preserve"> ESTIMATE</t>
    </r>
    <r>
      <rPr>
        <b/>
        <u/>
        <sz val="14"/>
        <color theme="1"/>
        <rFont val="Arial"/>
        <family val="2"/>
      </rPr>
      <t>ADDITIONAL</t>
    </r>
    <r>
      <rPr>
        <b/>
        <sz val="14"/>
        <color theme="1"/>
        <rFont val="Arial"/>
        <family val="2"/>
      </rPr>
      <t xml:space="preserve"> Power demand in kW</t>
    </r>
  </si>
  <si>
    <t>Day profile</t>
  </si>
  <si>
    <t>Night profile</t>
  </si>
  <si>
    <t>Day consumption profile</t>
  </si>
  <si>
    <t>Night usage profile</t>
  </si>
  <si>
    <t>top up</t>
  </si>
  <si>
    <t>load</t>
  </si>
  <si>
    <t>Office</t>
  </si>
  <si>
    <t>TOTAL</t>
  </si>
  <si>
    <r>
      <rPr>
        <b/>
        <sz val="14"/>
        <color rgb="FF7030A0"/>
        <rFont val="Arial"/>
        <family val="2"/>
      </rPr>
      <t>SCENARIO 1B</t>
    </r>
    <r>
      <rPr>
        <b/>
        <sz val="14"/>
        <color theme="1"/>
        <rFont val="Arial"/>
        <family val="2"/>
      </rPr>
      <t xml:space="preserve"> ESTIMATE</t>
    </r>
    <r>
      <rPr>
        <b/>
        <u/>
        <sz val="14"/>
        <color theme="1"/>
        <rFont val="Arial"/>
        <family val="2"/>
      </rPr>
      <t>ADDITIONAL</t>
    </r>
    <r>
      <rPr>
        <b/>
        <sz val="14"/>
        <color theme="1"/>
        <rFont val="Arial"/>
        <family val="2"/>
      </rPr>
      <t xml:space="preserve"> Power demand in kW</t>
    </r>
  </si>
  <si>
    <t>production</t>
  </si>
  <si>
    <t>No extra production</t>
  </si>
  <si>
    <t>EV</t>
  </si>
  <si>
    <r>
      <rPr>
        <b/>
        <u/>
        <sz val="14"/>
        <color rgb="FF7030A0"/>
        <rFont val="Arial"/>
        <family val="2"/>
      </rPr>
      <t>SCENARIO 2</t>
    </r>
    <r>
      <rPr>
        <b/>
        <u/>
        <sz val="14"/>
        <color theme="1"/>
        <rFont val="Arial"/>
        <family val="2"/>
      </rPr>
      <t xml:space="preserve"> ADDITIONAL</t>
    </r>
    <r>
      <rPr>
        <b/>
        <sz val="14"/>
        <color theme="1"/>
        <rFont val="Arial"/>
        <family val="2"/>
      </rPr>
      <t>Power demand in kW</t>
    </r>
  </si>
  <si>
    <t>No</t>
  </si>
  <si>
    <t xml:space="preserve"> Electrification production*</t>
  </si>
  <si>
    <t>From 2024 also production at night</t>
  </si>
  <si>
    <t>BUS DEMO</t>
  </si>
  <si>
    <t>Consumption in kW Peak</t>
  </si>
  <si>
    <t>Day</t>
  </si>
  <si>
    <t>Night</t>
  </si>
  <si>
    <t>66 buses in 2023</t>
  </si>
  <si>
    <t>125 buses in 2025</t>
  </si>
  <si>
    <t>Minus 155 buses in 2030</t>
  </si>
  <si>
    <t>Max 188 buses in 2030</t>
  </si>
  <si>
    <t>Consumption in kWh</t>
  </si>
  <si>
    <t>arouse</t>
  </si>
  <si>
    <t>kWh</t>
  </si>
  <si>
    <t>M2 sun</t>
  </si>
  <si>
    <t>S3 minimum - office own use (estimate office space)</t>
  </si>
  <si>
    <t>S2 medium</t>
  </si>
  <si>
    <t>S1 maximum - all roofs and solar carport for parking area</t>
  </si>
  <si>
    <t>Connection</t>
  </si>
  <si>
    <t>Current 250 kva</t>
  </si>
  <si>
    <t>Figures based on 66 buses, each with its own charger, extrapolated to 188 (&gt;10 MW); assuming everything above 10 MW is eliminated with simultaneity solutions (Stevin)</t>
  </si>
  <si>
    <t>Transporters who are going to drive electrically can make use of the emission rights system; in this they can trade, sell these ; business model (Stevin)</t>
  </si>
  <si>
    <t>Only possible on a pure connection of carriers! (Stevin)</t>
  </si>
  <si>
    <t>Legal</t>
  </si>
  <si>
    <t>In 2025: Green deal - 50% new plug sales, 15% fully electric</t>
  </si>
  <si>
    <t>Ambitions</t>
  </si>
  <si>
    <t>Ambition Brabant zero emissions 2025, national 2030</t>
  </si>
  <si>
    <t>Not generating plans; may not feed back to the grid and energy profile mismatch</t>
  </si>
  <si>
    <t>Assumption</t>
  </si>
  <si>
    <t>Potentially more efficient buses in the future</t>
  </si>
  <si>
    <t>Based on reference case Eindhoven - 104 charging places for 125 E-buses - assumption: - 25 fast charging places - 100 places for night chargers</t>
  </si>
  <si>
    <t>450 kW power fast charger, 60 kW night charger</t>
  </si>
  <si>
    <t xml:space="preserve"> Assuming 3 fast-charging stations during the day in 2023 and 6 fast-charging stations during the day in 2025</t>
  </si>
  <si>
    <t>Source municipality of Breda or source estimate based on bus depot Eindhoven</t>
  </si>
  <si>
    <t>Take simultaneity into account!! Measures to prevent peaks</t>
  </si>
  <si>
    <t>Estimated consumption development over time, taking into account the growth of electric transport</t>
  </si>
  <si>
    <t>Feedback Pierre van Driel</t>
  </si>
  <si>
    <t>Source:</t>
  </si>
  <si>
    <t>CONFIDENTIAL 210922 Starting points buses depot Breda Druivenstraat</t>
  </si>
  <si>
    <t>Zero Emission transition Breda 22-03-2021</t>
  </si>
  <si>
    <t>NB</t>
  </si>
  <si>
    <t>1. Consumption is not easy to obtain from the source with the starting points for buses</t>
  </si>
  <si>
    <t>2. Estimate how much to top up during the day. See also the link below from Jurgen</t>
  </si>
  <si>
    <t>https://www.postiljon.nl/nieuws/algemeen/99178/nieuwe-elektrische-bedrijven-in-zoetermeer-</t>
  </si>
  <si>
    <t>3. Tender in 2023, which will start in 2025. Tender for 100% zero emissions</t>
  </si>
  <si>
    <t>MUNICIPALITY</t>
  </si>
  <si>
    <t>17 hybrid truck</t>
  </si>
  <si>
    <t>Top up?</t>
  </si>
  <si>
    <t>2 hydrogen trucks</t>
  </si>
  <si>
    <t>Overview of municipal transport</t>
  </si>
  <si>
    <t>Bush: 2</t>
  </si>
  <si>
    <t>Car: 1</t>
  </si>
  <si>
    <t>Trucks : 63, of which 17 are hybrid</t>
  </si>
  <si>
    <t>AHW (waste collection car): 3 (2 hydrogen, assumption 3rd also hydrogen)</t>
  </si>
  <si>
    <t>Peak power kW</t>
  </si>
  <si>
    <t>Current 250 KVA</t>
  </si>
  <si>
    <t>Covenant on Sustainable Vehicles and Fuels in the Cleaning Industry - example role for municipality is mentioned in the covenant for CO2 emissions and to combat climate change</t>
  </si>
  <si>
    <t>2025: new vehicles to be purchased on Sustainable fuel or Zero Emission. Existing vehicles where possible with sustainable drop-in-fue</t>
  </si>
  <si>
    <t>2030: Zero Emission vehicles to be newly purchased. Phasing out conventional vehicles.</t>
  </si>
  <si>
    <t>2035 - 2040: All vehicles Zero Emission.</t>
  </si>
  <si>
    <t>150 KW peak power fast charger electric truck (Dieter Bos)</t>
  </si>
  <si>
    <t>Note: Take concurrency into account. So not loader power * number of trucks; they don't all load at the same time.</t>
  </si>
  <si>
    <t>Mail Wouter van Dijk</t>
  </si>
  <si>
    <t>Overview of vehicles per department and m2</t>
  </si>
  <si>
    <t>https://www.nvde.nl/nvdeblogs/brede-coalitie-pleit-voor-zakelijke-passenautos-without-co2-schijn-vanaf-2025/</t>
  </si>
  <si>
    <t>Broad coalition calls for business passenger cars without CO2 emissions from 2025</t>
  </si>
  <si>
    <t>With regard to electricity I have received the following:</t>
  </si>
  <si>
    <t>About the tension on the winding road, transport is low at night, which has to do with the time clocks that are in between for loading the vehicles that we suddenly switch on everything.</t>
  </si>
  <si>
    <t>Transport is normal during the day, this includes a number of vehicles, but no hydrogen vehicles yet, then you actually see that we still have the lowest column of transport measured a little bit left before we are at the 144 kWh secured on the street 250 amps that is the max that here have that is also the contract ability.</t>
  </si>
  <si>
    <t>So extra vehicles will not fit in power but also no longer in the meter box</t>
  </si>
  <si>
    <t>With regard to the policy on sustainability of the fleet, I finally received a response this morning that it may not be shared yet. Unfortunately I can't post further if; Breda has signed the covenant on sustainable vehicles and fuels for the cleaning industry. Perhaps this can give you some direction, it is publicly available on the internet.</t>
  </si>
  <si>
    <t>MUNICIPAL BUILDINGS</t>
  </si>
  <si>
    <t>Office space</t>
  </si>
  <si>
    <t>Paul, from kwh to KW peak estimate??</t>
  </si>
  <si>
    <t>S3 minimum - office own use</t>
  </si>
  <si>
    <t>S2 medium - all roofs</t>
  </si>
  <si>
    <t>†</t>
  </si>
  <si>
    <t>NZEB standards</t>
  </si>
  <si>
    <t xml:space="preserve"> Proposals BREEAM quality mark: this focuses on efficient use of raw materials and circularity</t>
  </si>
  <si>
    <t>The maximum energy requirement in kWh per m2 usable area per year cf BENG 1, office building &gt;100 m2 GFA, is 50 kWh per m2</t>
  </si>
  <si>
    <t>https://www.vereniging-bwt.nl/werkgroep-Gezond-en-energieeconomie/nieuws/2019/1/beng-vanaf-1-1-2020</t>
  </si>
  <si>
    <t>From kWh per m2 to KW peak for determining the required power - taking into account office hours from 8.00-17.00, is 2,040 hours</t>
  </si>
  <si>
    <t>Rule of thumb (Paul Hoorens): On a 10,000 m2 roof, 1,300 MWh generation is possible. 13,000 kWh . per 100 m2 of roof</t>
  </si>
  <si>
    <t>Per 7.5 m2 of sun yields 1 kW Peak</t>
  </si>
  <si>
    <t xml:space="preserve"> NB: The Energy Potential Scan does not look at the gross roof surface area, but a percentage of 40% is used, which would be suitable for generating solar energy. - On 10,000 m2 roof,</t>
  </si>
  <si>
    <t>Source: Poho Improve Breda</t>
  </si>
  <si>
    <t>function</t>
  </si>
  <si>
    <t>How much</t>
  </si>
  <si>
    <t>point of departure</t>
  </si>
  <si>
    <t>calculation method</t>
  </si>
  <si>
    <t>office space (+/-930 employees)</t>
  </si>
  <si>
    <t>Key Figures</t>
  </si>
  <si>
    <t>calculation model Service Center (50% activity-oriented work) Based on shared housing</t>
  </si>
  <si>
    <t>parking employees/visitors office</t>
  </si>
  <si>
    <t xml:space="preserve"> Key Figures</t>
  </si>
  <si>
    <t>0.3 per employee / incl. maneuvering area</t>
  </si>
  <si>
    <t>vehicle storage / tool storage / workshop (shed)</t>
  </si>
  <si>
    <t>based on vehicle dimensions current fleet / including maneuvering space</t>
  </si>
  <si>
    <t>Storage and production space outside</t>
  </si>
  <si>
    <t xml:space="preserve"> based on current size: decrease due to space sharing</t>
  </si>
  <si>
    <t xml:space="preserve"> 10% decrease Execution / 5% decrease AVS. Department Work current use.</t>
  </si>
  <si>
    <t>production area/storage of goods and raw materials (shed)</t>
  </si>
  <si>
    <t>based on current size: increase due to disassembly/post-separation/crafts</t>
  </si>
  <si>
    <t>expansion of +- 2,000 m2 included</t>
  </si>
  <si>
    <t>parking space for visitors Resourceful</t>
  </si>
  <si>
    <t>parking standards guide/thrift shop</t>
  </si>
  <si>
    <t>Environmental Street 1</t>
  </si>
  <si>
    <t>based on current size + necessary extra meters</t>
  </si>
  <si>
    <t>estimate based on policy plan. The current size of the environmental street plot is 7,874 (excluding access road).</t>
  </si>
  <si>
    <t>Environmental Street 2</t>
  </si>
  <si>
    <t>based on current size + extra meters</t>
  </si>
  <si>
    <t xml:space="preserve"> estimate based on policy plan. Current size of the environmental street plot is 3,750 (excluding access road).</t>
  </si>
  <si>
    <t xml:space="preserve"> Green on and transshipment</t>
  </si>
  <si>
    <t>Current facility + 1,200 extra m2</t>
  </si>
  <si>
    <t>Estimation based on policy plan. Current size of the environmental street plot is 8,783 (excluding access road)</t>
  </si>
  <si>
    <t>SLIGRO</t>
  </si>
  <si>
    <t>Electric Transport (5 truck in 2025, 50-60 truck in 2030)</t>
  </si>
  <si>
    <t xml:space="preserve"> Owns BREEAM quality mark: this focuses on efficient use of raw materials and circularity</t>
  </si>
  <si>
    <t xml:space="preserve"> Ambition is being self-sufficient. BREEAN 5 star building + solar panels + return 1 MW to the grid</t>
  </si>
  <si>
    <t xml:space="preserve"> 2030 50% reduction of CO2 emissions per euro of turnover compared to 2010.</t>
  </si>
  <si>
    <t>200 kW fast chargers for daytime charging (DB) - little at night</t>
  </si>
  <si>
    <t>Zero emission covenant applies (DB)!</t>
  </si>
  <si>
    <t>150 KW charger electric trucks; also night charger with less power?]</t>
  </si>
  <si>
    <t>Mapping consumption with electric charging in the future</t>
  </si>
  <si>
    <t>Numbers</t>
  </si>
  <si>
    <t>Estimated Sligro 5 electric truck in 2025</t>
  </si>
  <si>
    <t>Estimated Sligro 50-60 truck in 2030</t>
  </si>
  <si>
    <t>Hydrogen could also be planned instead of electric transport</t>
  </si>
  <si>
    <t>Check connection kW power + specifications area</t>
  </si>
  <si>
    <t>KING DRINKS</t>
  </si>
  <si>
    <t>Steam boiler replacement (e.g. e-boiler)</t>
  </si>
  <si>
    <t>From gas to electricity</t>
  </si>
  <si>
    <t>Now only off-peak production</t>
  </si>
  <si>
    <t>Also in night hours production</t>
  </si>
  <si>
    <t>Generation KWP</t>
  </si>
  <si>
    <t>Inverter power: 960,000KW</t>
  </si>
  <si>
    <t>Connection kVA</t>
  </si>
  <si>
    <t>It is not yet clear how to phase out gas installations. Nor whether a choice is made for electricity or gas (green gas/hydrogen). Vision in Q1 2022.</t>
  </si>
  <si>
    <r>
      <t>25,000 m</t>
    </r>
    <r>
      <rPr>
        <vertAlign val="superscript"/>
        <sz val="11"/>
        <color theme="4"/>
        <rFont val="Calibri"/>
        <family val="2"/>
      </rPr>
      <t>3</t>
    </r>
    <r>
      <rPr>
        <sz val="11"/>
        <color theme="4"/>
        <rFont val="Calibri"/>
        <family val="2"/>
      </rPr>
      <t xml:space="preserve"> gas corresponds to 244.225 kWh heat (NVDE)</t>
    </r>
  </si>
  <si>
    <t>Note: electric heating is 3x as effective as with gas (PH)</t>
  </si>
  <si>
    <t>From gas to electricity: 855,000 m3 gas = 8,352,495 kWh heat</t>
  </si>
  <si>
    <t>NB: hot steam processes; then reshaping processes with different type more efficient energy consumption (-50%) (PH)</t>
  </si>
  <si>
    <t>2040 hours production processes run from 8.00-17-00</t>
  </si>
  <si>
    <t>This will be between 1,500- 2,000 KW (PH)</t>
  </si>
  <si>
    <t>1 m3 of gas is 9.769 kWh (PH)</t>
  </si>
  <si>
    <t>From Gas to Electricity means a minimum of 4,000 kW (during office hours) and a maximum of 8,500 kW (24/7)</t>
  </si>
  <si>
    <t>Production growth + 25% per year</t>
  </si>
  <si>
    <t>In 2 years also production at night</t>
  </si>
  <si>
    <t>https://acc-www.pbl.nl/sites/default/files/downloads/pbl-2019-conceptadvies-SDE-plus-plus-industriele-elektrische-boilers_3744.pdf</t>
  </si>
  <si>
    <t>Electric steam boilers power up to 5 Mwe</t>
  </si>
  <si>
    <t>CURIOUS</t>
  </si>
  <si>
    <t>Note:</t>
  </si>
  <si>
    <t xml:space="preserve"> Jeroen Koijen from the municipality of Breda contacts Tilo Machelse about sustainability plans in relation to new construction plans</t>
  </si>
  <si>
    <t>LIVING BREBURG</t>
  </si>
  <si>
    <t>150 homes (between Frankenthalerstraat and Parallelweg) for urgent seekers</t>
  </si>
  <si>
    <t>No BENG standard for temporary housing</t>
  </si>
  <si>
    <t>Temporary construction is an exception to the BENG standard: https://www.feltz.nl/nl/actueel/blogs/833/-ka-beng...-treedt-per-1-januari-2021-in-werking- still-with-an-energetic-stunner-the-year-out.html</t>
  </si>
  <si>
    <t>Drawn the attention of the municipality to the fact that no BENG standard applies due to temporary housing and that there are no sustainability ambitions yet</t>
  </si>
  <si>
    <t>Specifications must be determined before the tender at the beginning of 2022. So also for PV, EV (cars, scooters). 2023 completion</t>
  </si>
  <si>
    <t>Ciska contact Tom van der Horst: As a municipality, we believe that the temporary homes should be built in accordance with new construction requirements related to energy poverty. The connection of district heating is not desirable and may not be possible in connection with the TO July requirement.</t>
  </si>
  <si>
    <t>Scenario</t>
  </si>
  <si>
    <t>Measures</t>
  </si>
  <si>
    <t>Impact 1</t>
  </si>
  <si>
    <t>Impact 2</t>
  </si>
  <si>
    <t>Estimated savings in € over 10-year term</t>
  </si>
  <si>
    <t>Estimated net costs in €</t>
  </si>
  <si>
    <t>TVT average</t>
  </si>
  <si>
    <t>Estimated CO reduction over 10-year term</t>
  </si>
  <si>
    <t>Savings other</t>
  </si>
  <si>
    <t>Estimated consumption in kWh for NZEB/office</t>
  </si>
  <si>
    <t>Electricity costs consumption in euros</t>
  </si>
  <si>
    <t>Solar generating m2</t>
  </si>
  <si>
    <t>kWh generation per year</t>
  </si>
  <si>
    <t>Explanation</t>
  </si>
  <si>
    <t>S3 Bus depot</t>
  </si>
  <si>
    <t>Smaller grid connection with smart charging</t>
  </si>
  <si>
    <t>Connection size minus 13% to 48% by smart charging; savings on peak power (reference project)</t>
  </si>
  <si>
    <t>No need for a 3rd cable (18 MW)</t>
  </si>
  <si>
    <t>No reduction if energy does not come from PV via battery</t>
  </si>
  <si>
    <r>
      <t xml:space="preserve"> PV Generation</t>
    </r>
    <r>
      <rPr>
        <sz val="10"/>
        <color rgb="FFFF0000"/>
        <rFont val="Arial"/>
        <family val="2"/>
      </rPr>
      <t>tailored to own use of the offices</t>
    </r>
  </si>
  <si>
    <r>
      <t xml:space="preserve"> Buildings must</t>
    </r>
    <r>
      <rPr>
        <sz val="10"/>
        <color rgb="FFFF0000"/>
        <rFont val="Arial"/>
        <family val="2"/>
      </rPr>
      <t xml:space="preserve"> energy neutral (0 on the meter? )</t>
    </r>
    <r>
      <rPr>
        <sz val="10"/>
        <color theme="1"/>
        <rFont val="Arial"/>
        <family val="2"/>
      </rPr>
      <t>to be built, according to the Province</t>
    </r>
  </si>
  <si>
    <t>After an average of 7.5 years, solar generation will pay off</t>
  </si>
  <si>
    <t>7.5 years</t>
  </si>
  <si>
    <r>
      <t xml:space="preserve"> Depot is open space, no roof, fire safety aspect/fire-sensitive objects. Sun in offices. Excess sun can be used for the consumption of the buses</t>
    </r>
    <r>
      <rPr>
        <b/>
        <sz val="10"/>
        <color rgb="FFFF0000"/>
        <rFont val="Arial"/>
        <family val="2"/>
      </rPr>
      <t>NB: no map bus depot and offices and no m2</t>
    </r>
  </si>
  <si>
    <t>S2 Bus depot</t>
  </si>
  <si>
    <t>PV Generation on the roof</t>
  </si>
  <si>
    <t>Buildings must be built energy neutral, according to the Province</t>
  </si>
  <si>
    <t>After an average of 7.5, solar generation starts to pay off</t>
  </si>
  <si>
    <t>BREEAM certification buildings (BREEAM budget level)</t>
  </si>
  <si>
    <t xml:space="preserve"> Extra investment costs per GFA (gross floor area)</t>
  </si>
  <si>
    <t>See benefits BREEAM</t>
  </si>
  <si>
    <r>
      <t xml:space="preserve"> Linking energy profile bus depot to municipal executive organisations.</t>
    </r>
    <r>
      <rPr>
        <sz val="10"/>
        <color rgb="FFFF0000"/>
        <rFont val="Arial"/>
        <family val="2"/>
      </rPr>
      <t>Equal to direct line!</t>
    </r>
  </si>
  <si>
    <t>Optimal use of sustainable energy</t>
  </si>
  <si>
    <t>Savings due to a direct line between the Province and the municipality</t>
  </si>
  <si>
    <t>check sun municipality</t>
  </si>
  <si>
    <t>Nuisance; pull cables/ open ground</t>
  </si>
  <si>
    <t>generation-consumption profile municipality and province - optimal use of the sun; estimate 30%?</t>
  </si>
  <si>
    <t>S1 Bus depot</t>
  </si>
  <si>
    <t>- Large-scale energy generation - PV on the roof for bus charging - Solar carport for bus charging - PowerNEST for bus charging</t>
  </si>
  <si>
    <t>Buffering - TES for buildings - Battery for balancing peaks</t>
  </si>
  <si>
    <r>
      <t xml:space="preserve"> BREEAM certification buildings,</t>
    </r>
    <r>
      <rPr>
        <sz val="10"/>
        <color rgb="FFFF0000"/>
        <rFont val="Arial"/>
        <family val="2"/>
      </rPr>
      <t>top level</t>
    </r>
  </si>
  <si>
    <t>Direct bus - municipality - Link energy profiles bus depot &amp; municipal yard - Incl. shared grid connection</t>
  </si>
  <si>
    <t>Smaller grid connection due to Smart Charging</t>
  </si>
  <si>
    <t>S3 Municipality</t>
  </si>
  <si>
    <t>- Electrification fleet - incl. required connection</t>
  </si>
  <si>
    <t xml:space="preserve"> PV Generation tailored to own use - Buildings - Charging vehicle fleet</t>
  </si>
  <si>
    <t>S2 Municipality</t>
  </si>
  <si>
    <t xml:space="preserve"> - PV generation on the roof</t>
  </si>
  <si>
    <t xml:space="preserve"> BREEAM certification buildings</t>
  </si>
  <si>
    <t xml:space="preserve"> Electrification fleet</t>
  </si>
  <si>
    <t>Link energy profiles bus depot &amp; municipal yard</t>
  </si>
  <si>
    <t>S1 Municipality</t>
  </si>
  <si>
    <t>- Large-scale energy generation - PV on the roof for vehicle fleet charging - Solar carport for vehicle fleet charging - PowerNEST for vehicle fleet charging</t>
  </si>
  <si>
    <t>Buffering - TES for offices &amp; warehouses - Battery for balancing peaks (buildings &amp; fleet)</t>
  </si>
  <si>
    <t>BREEAM certification buildings, highest level</t>
  </si>
  <si>
    <t>Link energy profiles bus depot &amp; municipal yard - Incl. shared grid connection</t>
  </si>
  <si>
    <t>S3 Sligro</t>
  </si>
  <si>
    <t>S2 Sligro</t>
  </si>
  <si>
    <t>Loading trucks at Gemeentewerf</t>
  </si>
  <si>
    <t>S1 Sligro</t>
  </si>
  <si>
    <t>- Loading trucks at Gemeentewerf</t>
  </si>
  <si>
    <t>Buffering with Battery for energy supply for loading trucks</t>
  </si>
  <si>
    <t>S3 Curio</t>
  </si>
  <si>
    <t>- Sustainability measures in existing buildings with a short payback period - LED lighting - PV installation - Heat pump - Insulation - Glazing - HRV ventilation</t>
  </si>
  <si>
    <t>`S2 Curio</t>
  </si>
  <si>
    <t>S1 Curio</t>
  </si>
  <si>
    <t xml:space="preserve"> - Sustainability measures in existing buildings with a short payback period - LED lighting - PV installation - Heat pump - Insulation - Glazing - HRV ventilation</t>
  </si>
  <si>
    <t>New construction with BREEAM certification</t>
  </si>
  <si>
    <t>S3 Living breburg</t>
  </si>
  <si>
    <t>- Comply with "Beng light" - Minimum PV generation - Gasless cooking - LED lighting - Glazing</t>
  </si>
  <si>
    <t>S2 Living Breburg</t>
  </si>
  <si>
    <t>- Comply with "Beng light" - Minimum PV generation - Gasless cooking - LED lighting</t>
  </si>
  <si>
    <t>S1 Living Breburg</t>
  </si>
  <si>
    <t>Longer lifespan of homes for rendering sustainability measures - LED lighting - PV installation - Heat pump - Insulation - Glazing - WTW ventilation</t>
  </si>
  <si>
    <t>no</t>
  </si>
  <si>
    <t>Rules of thumb</t>
  </si>
  <si>
    <t>Subject</t>
  </si>
  <si>
    <t>Source</t>
  </si>
  <si>
    <t>On 10,000 m2 roof, 1,300 MWh generation possible per year</t>
  </si>
  <si>
    <t>Internal</t>
  </si>
  <si>
    <t xml:space="preserve"> A panel is on average 2.5 m2 in size. When your roof is 10 m2, you can place about 4 panels on it.</t>
  </si>
  <si>
    <t>panels</t>
  </si>
  <si>
    <t>https://www.asndokkum.nl/hoeveel-zonnemetaal-op-plat-dak/#:~:text=How many%20zonne panels%20per%20m2%20plat,hereop%20about%204%20panels%20places.</t>
  </si>
  <si>
    <t>Cost of 10 panels is 5,400 euros gross / 4,500 net</t>
  </si>
  <si>
    <t>Cost panel</t>
  </si>
  <si>
    <t>https://www.milieucentraal.nl/energie-besparen/zonnemetaal/kosten-en- Revenue-zonnemeubelen/</t>
  </si>
  <si>
    <t>Payback period for solar panels is 7.5 years</t>
  </si>
  <si>
    <t>TVT panel</t>
  </si>
  <si>
    <t>https://www.essent.nl/kennisbank/zonnemetaal/wat-zijn-de-economie-van-zonnemeubelen/recovery-time-solar-panels</t>
  </si>
  <si>
    <r>
      <t>The emission factor of gray power is 0.649 kg</t>
    </r>
    <r>
      <rPr>
        <b/>
        <sz val="10"/>
        <color rgb="FF202124"/>
        <rFont val="Arial"/>
        <family val="2"/>
      </rPr>
      <t>CO2</t>
    </r>
    <r>
      <rPr>
        <sz val="10"/>
        <color rgb="FF202124"/>
        <rFont val="Arial"/>
        <family val="2"/>
      </rPr>
      <t>per kWh. If we multiply this by an average annual consumption of 2900 to 3000 kWh of electricity, this produces an emission of 1882 to 1947 kg</t>
    </r>
    <r>
      <rPr>
        <b/>
        <sz val="10"/>
        <color rgb="FF202124"/>
        <rFont val="Arial"/>
        <family val="2"/>
      </rPr>
      <t>CO2</t>
    </r>
    <r>
      <rPr>
        <sz val="10"/>
        <color rgb="FF202124"/>
        <rFont val="Arial"/>
        <family val="2"/>
      </rPr>
      <t>per year.</t>
    </r>
  </si>
  <si>
    <t>Gray power emission factor</t>
  </si>
  <si>
    <t>https://wisenederland.nl/ artikel/hoeveel-co2-schijn-bespaar-je-als-je-overstapt-op-groene-energie/#:~:text=De%20emissiefactor%20van%20grijze%20stroom,1947% 20kg%20CO2%20per%20years.</t>
  </si>
  <si>
    <t>0.15 euros per kWh of electricity (including energy taxes and VAT).</t>
  </si>
  <si>
    <t>Electricity rate</t>
  </si>
  <si>
    <t>https://www.milieucentraal.nl/energie-besparen/inzicht-in-je-energierekening/energierekening/#:~:text=De%20energieprijs%20in%20jouw%20kalender&amp;text=Je%20betaalt%20in%202022%20approximately, lower%20energyload%20for%20power%20is.</t>
  </si>
  <si>
    <t>Consumption per m2</t>
  </si>
  <si>
    <t>https://heatpump-weetjes.nl/relateerd/beng-norm-per-1-juli-2020/</t>
  </si>
  <si>
    <t>From January 1, 2021, all new construction in the Netherlands must be delivered as an “almost energy neutral building”, in short BENG. This means that buildings must be further insulated and airtight. A building at BREEAM level entails additional costs. BREEAM-NL New Construction is managed by the Dutch Green Building Council and is the hallmark in the Netherlands for integrally assessing new construction projects on sustainability performance. However, the additional costs of BREEAM decrease as the ambition levels increase (see table 5). Achieving the Outstanding level at Building Decree level requires 354 euros per square meter GFA (gross floor area) in additional costs. To arrive at BREEAM budget level with BENG, 257 euros per square meter GFA in additional initial costs is required compared to the Building Decree (€1601 – €1.344).</t>
  </si>
  <si>
    <t>Additional investment BREEAM</t>
  </si>
  <si>
    <t>https://www.cobouw.nl/duurzaam/nieuws/2018/03/beng-en-breeam-wat-gaat-dat-kosten-101258851?_login=1</t>
  </si>
  <si>
    <t>BREEAM-NL New Construction is the certification method for new construction projects. BREEAM-NL assesses your project on nine different sustainability categories: management, health, energy, transport, water, materials, waste, land use and ecology and pollution. Each category contributes in part to the total score. That score is expressed in stars. A maximum of five stars can be obtained.</t>
  </si>
  <si>
    <t>BREEAM . guidelines</t>
  </si>
  <si>
    <t>https://www.samenenergiebesparen.nl/measures/certification/breeam/</t>
  </si>
  <si>
    <r>
      <t xml:space="preserve"> See benefits including sustainability and operational cost savings</t>
    </r>
    <r>
      <rPr>
        <b/>
        <sz val="10"/>
        <color theme="1"/>
        <rFont val="Arial"/>
        <family val="2"/>
      </rPr>
      <t>Subsidy possible</t>
    </r>
    <r>
      <rPr>
        <sz val="10"/>
        <color theme="1"/>
        <rFont val="Arial"/>
        <family val="2"/>
      </rPr>
      <t xml:space="preserve"> Before you start with BREEAM-NL, you first determine which sustainable ambitions you have for your project. You are looking for the right balance between what is financially and technically feasible and your sustainable wish list.</t>
    </r>
  </si>
  <si>
    <t>Yields BREEAM</t>
  </si>
  <si>
    <t>https://www.breeam.nl/wat-is-breeam-nl-1</t>
  </si>
  <si>
    <t xml:space="preserve"> BREEAM-NL certificate demonstrates that it is a sustainable and high-quality building. This means that you can save on operational costs. This is also apparent from research by the World Green Building Council: an additional investment in sustainability is recouped through a reduction in energy costs, water savings and maintenance, among other things.</t>
  </si>
  <si>
    <t>https://www.facilitairjournaal.nl/breeam/</t>
  </si>
  <si>
    <t>Energy savings 9% comfort and 49% for BENG maximum</t>
  </si>
  <si>
    <t>Costs 630 kVa is 13,184, 1750 kVa is 29,427, 6000 kVa is 219,956, 10,000 kVa is 321,084 and price is still per additional meter of cable</t>
  </si>
  <si>
    <t>Connection costs</t>
  </si>
  <si>
    <t>https://www.enexis.nl/ Business/Connections/Tariffs/Tariffs Overview/eenmalige-kosten?stap=Waarvan%20wilt%20u%20de%20kosten%20weten_1_2</t>
  </si>
  <si>
    <t>TIMELINE</t>
  </si>
  <si>
    <t xml:space="preserve"> Tipping point between financial and sustainable scenario. Depends on Payback times and TVT in the future. Depreciation periods per asset.</t>
  </si>
  <si>
    <t>Subsidy unprofitable top</t>
  </si>
  <si>
    <t>Note: BENG standardization of jurisprudence, do not use the full potential of the sun; business case</t>
  </si>
  <si>
    <t>What bears on the road in the Every for Himself scenario! Providing arguments to stakeholders</t>
  </si>
  <si>
    <t>Calculate for what is realistic - don't flatten too quickly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</si>
</sst>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 #,##0.00_ ;_ * \-#,##0.00_ ;_ * &quot;-&quot;??_ ;_ @_ "/>
    <numFmt numFmtId="164" formatCode="_ * #,##0_ ;_ * \-#,##0_ ;_ * &quot;-&quot;??_ ;_ @_ "/>
    <numFmt numFmtId="165" formatCode="#,##0\ &quot;MWh&quot;"/>
    <numFmt numFmtId="166" formatCode="#,##0\ &quot;kVA&quot;"/>
  </numFmts>
  <fonts count="32" x14ac:knownFonts="1">
    <font>
      <sz val="10"/>
      <color theme="1"/>
      <name val="Arial"/>
      <family val="2"/>
    </font>
    <font>
      <sz val="10"/>
      <color rgb="FFFF0000"/>
      <name val="Arial"/>
      <family val="2"/>
    </font>
    <font>
      <b/>
      <sz val="10"/>
      <color theme="1"/>
      <name val="Arial"/>
      <family val="2"/>
    </font>
    <font>
      <sz val="11"/>
      <color theme="1"/>
      <name val="Calibri"/>
      <family val="2"/>
    </font>
    <font>
      <b/>
      <sz val="14"/>
      <color theme="1"/>
      <name val="Arial"/>
      <family val="2"/>
    </font>
    <font>
      <b/>
      <sz val="10"/>
      <color rgb="FF7030A0"/>
      <name val="Arial"/>
      <family val="2"/>
    </font>
    <font>
      <i/>
      <sz val="11"/>
      <color theme="1"/>
      <name val="Calibri"/>
      <family val="2"/>
    </font>
    <font>
      <i/>
      <sz val="10"/>
      <color theme="1"/>
      <name val="Arial"/>
      <family val="2"/>
    </font>
    <font>
      <sz val="10"/>
      <color rgb="FF7030A0"/>
      <name val="Arial"/>
      <family val="2"/>
    </font>
    <font>
      <b/>
      <sz val="10"/>
      <name val="Arial"/>
      <family val="2"/>
    </font>
    <font>
      <b/>
      <sz val="11"/>
      <color theme="1"/>
      <name val="Calibri"/>
      <family val="2"/>
    </font>
    <font>
      <b/>
      <sz val="11"/>
      <color rgb="FF000000"/>
      <name val="Calibri"/>
      <family val="2"/>
    </font>
    <font>
      <sz val="11"/>
      <color rgb="FF000000"/>
      <name val="Calibri"/>
      <family val="2"/>
    </font>
    <font>
      <sz val="10"/>
      <name val="Arial"/>
      <family val="2"/>
    </font>
    <font>
      <b/>
      <sz val="10"/>
      <color rgb="FFFF0000"/>
      <name val="Arial"/>
      <family val="2"/>
    </font>
    <font>
      <sz val="10"/>
      <color theme="1"/>
      <name val="Arial"/>
      <family val="2"/>
    </font>
    <font>
      <sz val="10"/>
      <color theme="4"/>
      <name val="Arial"/>
      <family val="2"/>
    </font>
    <font>
      <b/>
      <u/>
      <sz val="14"/>
      <color theme="1"/>
      <name val="Arial"/>
      <family val="2"/>
    </font>
    <font>
      <sz val="10"/>
      <color rgb="FF202124"/>
      <name val="Arial"/>
      <family val="2"/>
    </font>
    <font>
      <u val="singleAccounting"/>
      <sz val="10"/>
      <color theme="1"/>
      <name val="Arial"/>
      <family val="2"/>
    </font>
    <font>
      <u val="singleAccounting"/>
      <sz val="10"/>
      <name val="Arial"/>
      <family val="2"/>
    </font>
    <font>
      <b/>
      <sz val="10"/>
      <color rgb="FF00B0F0"/>
      <name val="Arial"/>
      <family val="2"/>
    </font>
    <font>
      <b/>
      <sz val="10"/>
      <color rgb="FF00B050"/>
      <name val="Arial"/>
      <family val="2"/>
    </font>
    <font>
      <sz val="10"/>
      <color rgb="FF0070C0"/>
      <name val="Arial"/>
      <family val="2"/>
    </font>
    <font>
      <b/>
      <sz val="10"/>
      <color rgb="FF0070C0"/>
      <name val="Arial"/>
      <family val="2"/>
    </font>
    <font>
      <b/>
      <sz val="14"/>
      <color rgb="FF7030A0"/>
      <name val="Arial"/>
      <family val="2"/>
    </font>
    <font>
      <b/>
      <u/>
      <sz val="14"/>
      <color rgb="FF7030A0"/>
      <name val="Arial"/>
      <family val="2"/>
    </font>
    <font>
      <sz val="11"/>
      <color theme="4"/>
      <name val="Calibri"/>
      <family val="2"/>
    </font>
    <font>
      <vertAlign val="superscript"/>
      <sz val="11"/>
      <color theme="4"/>
      <name val="Calibri"/>
      <family val="2"/>
    </font>
    <font>
      <b/>
      <sz val="10"/>
      <color rgb="FF202124"/>
      <name val="Arial"/>
      <family val="2"/>
    </font>
    <font>
      <sz val="10"/>
      <color rgb="FF333333"/>
      <name val="Helvetica"/>
      <family val="2"/>
    </font>
    <font>
      <b/>
      <i/>
      <sz val="10"/>
      <color theme="1"/>
      <name val="Arial"/>
      <family val="2"/>
    </font>
  </fonts>
  <fills count="7">
    <fill>
      <patternFill patternType="none"/>
    </fill>
    <fill>
      <patternFill patternType="gray125"/>
    </fill>
    <fill>
      <patternFill patternType="solid">
        <fgColor theme="0" tint="-4.9989318521683403E-2"/>
        <bgColor indexed="64"/>
      </patternFill>
    </fill>
    <fill>
      <patternFill patternType="solid">
        <fgColor rgb="FFE7EDEC"/>
        <bgColor indexed="64"/>
      </patternFill>
    </fill>
    <fill>
      <patternFill patternType="solid">
        <fgColor theme="4" tint="0.79998168889431442"/>
        <bgColor indexed="64"/>
      </patternFill>
    </fill>
    <fill>
      <patternFill patternType="solid">
        <fgColor theme="8" tint="0.79998168889431442"/>
        <bgColor indexed="64"/>
      </patternFill>
    </fill>
    <fill>
      <patternFill patternType="solid">
        <fgColor rgb="FFFFFF00"/>
        <bgColor indexed="64"/>
      </patternFill>
    </fill>
  </fills>
  <borders count="18">
    <border>
      <left/>
      <right/>
      <top/>
      <bottom/>
      <diagonal/>
    </border>
    <border>
      <left style="medium">
        <color rgb="FFFFFFFF"/>
      </left>
      <right style="medium">
        <color rgb="FFFFFFFF"/>
      </right>
      <top style="medium">
        <color rgb="FFFFFFFF"/>
      </top>
      <bottom style="medium">
        <color rgb="FFFFFFFF"/>
      </bottom>
      <diagonal/>
    </border>
    <border>
      <left/>
      <right style="medium">
        <color rgb="FFFFFFFF"/>
      </right>
      <top style="medium">
        <color rgb="FFFFFFFF"/>
      </top>
      <bottom style="medium">
        <color rgb="FFFFFFFF"/>
      </bottom>
      <diagonal/>
    </border>
    <border>
      <left style="medium">
        <color rgb="FFFFFFFF"/>
      </left>
      <right style="medium">
        <color rgb="FFFFFFFF"/>
      </right>
      <top/>
      <bottom style="medium">
        <color rgb="FFFFFFFF"/>
      </bottom>
      <diagonal/>
    </border>
    <border>
      <left/>
      <right style="medium">
        <color rgb="FFFFFFFF"/>
      </right>
      <top/>
      <bottom style="medium">
        <color rgb="FFFFFFFF"/>
      </bottom>
      <diagonal/>
    </border>
    <border>
      <left/>
      <right/>
      <top/>
      <bottom style="thin">
        <color indexed="64"/>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3">
    <xf numFmtId="0" fontId="0" fillId="0" borderId="0"/>
    <xf numFmtId="43" fontId="15" fillId="0" borderId="0" applyFont="0" applyFill="0" applyBorder="0" applyAlignment="0" applyProtection="0"/>
    <xf numFmtId="9" fontId="15" fillId="0" borderId="0" applyFont="0" applyFill="0" applyBorder="0" applyAlignment="0" applyProtection="0"/>
  </cellStyleXfs>
  <cellXfs count="106">
    <xf numFmtId="0" fontId="0" fillId="0" borderId="0" xfId="0"/>
    <xf numFmtId="0" fontId="2" fillId="0" borderId="0" xfId="0" applyFont="1"/>
    <xf numFmtId="0" fontId="3" fillId="0" borderId="0" xfId="0" applyFont="1" applyAlignment="1">
      <alignment vertical="center"/>
    </xf>
    <xf numFmtId="0" fontId="0" fillId="0" borderId="0" xfId="0" applyAlignment="1">
      <alignment wrapText="1"/>
    </xf>
    <xf numFmtId="0" fontId="4" fillId="0" borderId="0" xfId="0" applyFont="1"/>
    <xf numFmtId="0" fontId="5" fillId="0" borderId="0" xfId="0" applyFont="1"/>
    <xf numFmtId="0" fontId="6" fillId="0" borderId="0" xfId="0" applyFont="1" applyAlignment="1">
      <alignment vertical="center"/>
    </xf>
    <xf numFmtId="0" fontId="7" fillId="0" borderId="0" xfId="0" applyFont="1"/>
    <xf numFmtId="0" fontId="8" fillId="0" borderId="0" xfId="0" applyFont="1"/>
    <xf numFmtId="0" fontId="0" fillId="2" borderId="0" xfId="0" applyFill="1"/>
    <xf numFmtId="0" fontId="9" fillId="0" borderId="0" xfId="0" applyFont="1"/>
    <xf numFmtId="0" fontId="10" fillId="3" borderId="1" xfId="0" applyFont="1" applyFill="1" applyBorder="1" applyAlignment="1">
      <alignment vertical="center" wrapText="1"/>
    </xf>
    <xf numFmtId="0" fontId="11" fillId="3" borderId="2" xfId="0" applyFont="1" applyFill="1" applyBorder="1" applyAlignment="1">
      <alignment vertical="center" wrapText="1"/>
    </xf>
    <xf numFmtId="0" fontId="12" fillId="3" borderId="3" xfId="0" applyFont="1" applyFill="1" applyBorder="1" applyAlignment="1">
      <alignment vertical="center" wrapText="1"/>
    </xf>
    <xf numFmtId="3" fontId="12" fillId="3" borderId="4" xfId="0" applyNumberFormat="1" applyFont="1" applyFill="1" applyBorder="1" applyAlignment="1">
      <alignment vertical="center" wrapText="1"/>
    </xf>
    <xf numFmtId="0" fontId="12" fillId="3" borderId="4" xfId="0" applyFont="1" applyFill="1" applyBorder="1" applyAlignment="1">
      <alignment vertical="center" wrapText="1"/>
    </xf>
    <xf numFmtId="0" fontId="1" fillId="0" borderId="0" xfId="0" applyFont="1" applyAlignment="1">
      <alignment wrapText="1"/>
    </xf>
    <xf numFmtId="0" fontId="1" fillId="0" borderId="0" xfId="0" applyFont="1"/>
    <xf numFmtId="0" fontId="13" fillId="0" borderId="0" xfId="0" applyFont="1"/>
    <xf numFmtId="0" fontId="14" fillId="0" borderId="0" xfId="0" applyFont="1"/>
    <xf numFmtId="0" fontId="0" fillId="0" borderId="0" xfId="0" applyAlignment="1">
      <alignment horizontal="center" wrapText="1"/>
    </xf>
    <xf numFmtId="0" fontId="0" fillId="0" borderId="0" xfId="0" applyAlignment="1">
      <alignment horizontal="left"/>
    </xf>
    <xf numFmtId="0" fontId="0" fillId="0" borderId="0" xfId="0" applyAlignment="1">
      <alignment horizontal="left" wrapText="1"/>
    </xf>
    <xf numFmtId="1" fontId="1" fillId="0" borderId="0" xfId="0" applyNumberFormat="1" applyFont="1"/>
    <xf numFmtId="0" fontId="3" fillId="0" borderId="0" xfId="0" applyFont="1" applyAlignment="1">
      <alignment vertical="center" wrapText="1"/>
    </xf>
    <xf numFmtId="0" fontId="16" fillId="0" borderId="0" xfId="0" applyFont="1"/>
    <xf numFmtId="0" fontId="1" fillId="0" borderId="0" xfId="0" applyFont="1" applyAlignment="1">
      <alignment horizontal="left"/>
    </xf>
    <xf numFmtId="164" fontId="0" fillId="0" borderId="0" xfId="1" applyNumberFormat="1" applyFont="1"/>
    <xf numFmtId="164" fontId="1" fillId="0" borderId="0" xfId="1" applyNumberFormat="1" applyFont="1"/>
    <xf numFmtId="0" fontId="2" fillId="2" borderId="0" xfId="0" applyFont="1" applyFill="1"/>
    <xf numFmtId="0" fontId="5" fillId="0" borderId="0" xfId="0" applyFont="1" applyAlignment="1">
      <alignment wrapText="1"/>
    </xf>
    <xf numFmtId="0" fontId="8" fillId="0" borderId="0" xfId="0" applyFont="1" applyAlignment="1">
      <alignment wrapText="1"/>
    </xf>
    <xf numFmtId="164" fontId="2" fillId="2" borderId="0" xfId="1" applyNumberFormat="1" applyFont="1" applyFill="1"/>
    <xf numFmtId="164" fontId="0" fillId="2" borderId="0" xfId="1" applyNumberFormat="1" applyFont="1" applyFill="1"/>
    <xf numFmtId="164" fontId="2" fillId="2" borderId="0" xfId="0" applyNumberFormat="1" applyFont="1" applyFill="1"/>
    <xf numFmtId="164" fontId="13" fillId="0" borderId="0" xfId="1" applyNumberFormat="1" applyFont="1"/>
    <xf numFmtId="0" fontId="13" fillId="0" borderId="5" xfId="0" applyFont="1" applyBorder="1"/>
    <xf numFmtId="164" fontId="13" fillId="0" borderId="5" xfId="1" applyNumberFormat="1" applyFont="1" applyBorder="1"/>
    <xf numFmtId="0" fontId="1" fillId="2" borderId="0" xfId="0" applyFont="1" applyFill="1"/>
    <xf numFmtId="164" fontId="15" fillId="2" borderId="0" xfId="1" applyNumberFormat="1" applyFont="1" applyFill="1"/>
    <xf numFmtId="164" fontId="0" fillId="0" borderId="0" xfId="0" applyNumberFormat="1"/>
    <xf numFmtId="164" fontId="2" fillId="0" borderId="0" xfId="1" applyNumberFormat="1" applyFont="1" applyFill="1"/>
    <xf numFmtId="0" fontId="4" fillId="0" borderId="0" xfId="0" applyFont="1" applyAlignment="1">
      <alignment horizontal="center" wrapText="1"/>
    </xf>
    <xf numFmtId="0" fontId="18" fillId="0" borderId="0" xfId="0" applyFont="1"/>
    <xf numFmtId="1" fontId="0" fillId="0" borderId="0" xfId="0" applyNumberFormat="1"/>
    <xf numFmtId="164" fontId="19" fillId="0" borderId="0" xfId="1" applyNumberFormat="1" applyFont="1"/>
    <xf numFmtId="164" fontId="20" fillId="0" borderId="5" xfId="1" applyNumberFormat="1" applyFont="1" applyBorder="1"/>
    <xf numFmtId="0" fontId="13" fillId="0" borderId="0" xfId="0" applyFont="1" applyAlignment="1">
      <alignment wrapText="1"/>
    </xf>
    <xf numFmtId="164" fontId="15" fillId="0" borderId="0" xfId="1" applyNumberFormat="1" applyFont="1" applyFill="1"/>
    <xf numFmtId="0" fontId="5" fillId="0" borderId="6" xfId="0" applyFont="1" applyBorder="1" applyAlignment="1">
      <alignment wrapText="1"/>
    </xf>
    <xf numFmtId="0" fontId="5" fillId="0" borderId="6" xfId="0" applyFont="1" applyBorder="1"/>
    <xf numFmtId="0" fontId="21" fillId="0" borderId="0" xfId="0" applyFont="1"/>
    <xf numFmtId="0" fontId="22" fillId="0" borderId="0" xfId="0" applyFont="1"/>
    <xf numFmtId="164" fontId="24" fillId="0" borderId="0" xfId="1" applyNumberFormat="1" applyFont="1"/>
    <xf numFmtId="0" fontId="24" fillId="0" borderId="0" xfId="0" applyFont="1"/>
    <xf numFmtId="0" fontId="23" fillId="0" borderId="0" xfId="0" applyFont="1"/>
    <xf numFmtId="0" fontId="27" fillId="0" borderId="0" xfId="0" applyFont="1"/>
    <xf numFmtId="164" fontId="8" fillId="0" borderId="0" xfId="1" applyNumberFormat="1" applyFont="1"/>
    <xf numFmtId="0" fontId="2" fillId="4" borderId="0" xfId="0" applyFont="1" applyFill="1"/>
    <xf numFmtId="0" fontId="0" fillId="0" borderId="0" xfId="0" quotePrefix="1" applyAlignment="1">
      <alignment wrapText="1"/>
    </xf>
    <xf numFmtId="0" fontId="0" fillId="0" borderId="0" xfId="0" quotePrefix="1"/>
    <xf numFmtId="0" fontId="14" fillId="0" borderId="0" xfId="0" applyFont="1" applyAlignment="1">
      <alignment vertical="center"/>
    </xf>
    <xf numFmtId="3" fontId="0" fillId="0" borderId="0" xfId="0" applyNumberFormat="1" applyAlignment="1">
      <alignment wrapText="1"/>
    </xf>
    <xf numFmtId="0" fontId="2" fillId="0" borderId="0" xfId="0" applyFont="1" applyAlignment="1">
      <alignment wrapText="1"/>
    </xf>
    <xf numFmtId="3" fontId="1" fillId="0" borderId="0" xfId="0" applyNumberFormat="1" applyFont="1" applyAlignment="1">
      <alignment wrapText="1"/>
    </xf>
    <xf numFmtId="0" fontId="2" fillId="5" borderId="0" xfId="0" applyFont="1" applyFill="1" applyAlignment="1">
      <alignment wrapText="1"/>
    </xf>
    <xf numFmtId="164" fontId="0" fillId="0" borderId="0" xfId="1" applyNumberFormat="1" applyFont="1" applyAlignment="1">
      <alignment wrapText="1"/>
    </xf>
    <xf numFmtId="0" fontId="18" fillId="0" borderId="0" xfId="0" applyFont="1" applyAlignment="1">
      <alignment wrapText="1"/>
    </xf>
    <xf numFmtId="0" fontId="0" fillId="0" borderId="0" xfId="0" applyAlignment="1">
      <alignment vertical="center" wrapText="1"/>
    </xf>
    <xf numFmtId="0" fontId="30" fillId="0" borderId="0" xfId="0" applyFont="1" applyAlignment="1">
      <alignment wrapText="1"/>
    </xf>
    <xf numFmtId="9" fontId="0" fillId="0" borderId="0" xfId="2" applyFont="1"/>
    <xf numFmtId="164" fontId="0" fillId="0" borderId="0" xfId="0" applyNumberFormat="1" applyAlignment="1">
      <alignment wrapText="1"/>
    </xf>
    <xf numFmtId="164" fontId="1" fillId="0" borderId="0" xfId="1" applyNumberFormat="1" applyFont="1" applyAlignment="1">
      <alignment wrapText="1"/>
    </xf>
    <xf numFmtId="0" fontId="2" fillId="4" borderId="0" xfId="0" applyFont="1" applyFill="1" applyAlignment="1">
      <alignment wrapText="1"/>
    </xf>
    <xf numFmtId="0" fontId="13" fillId="0" borderId="0" xfId="0" applyFont="1" applyAlignment="1">
      <alignment vertical="center" wrapText="1"/>
    </xf>
    <xf numFmtId="0" fontId="0" fillId="0" borderId="0" xfId="0" quotePrefix="1" applyAlignment="1">
      <alignment vertical="center" wrapText="1"/>
    </xf>
    <xf numFmtId="0" fontId="0" fillId="6" borderId="0" xfId="0" applyFill="1" applyAlignment="1">
      <alignment wrapText="1"/>
    </xf>
    <xf numFmtId="0" fontId="1" fillId="6" borderId="0" xfId="0" applyFont="1" applyFill="1"/>
    <xf numFmtId="166" fontId="0" fillId="0" borderId="0" xfId="0" applyNumberFormat="1"/>
    <xf numFmtId="0" fontId="31" fillId="0" borderId="0" xfId="0" applyFont="1"/>
    <xf numFmtId="0" fontId="2" fillId="0" borderId="0" xfId="0" applyFont="1" applyAlignment="1">
      <alignment horizontal="center"/>
    </xf>
    <xf numFmtId="0" fontId="2" fillId="0" borderId="7" xfId="0" applyFont="1" applyBorder="1" applyAlignment="1">
      <alignment horizontal="center"/>
    </xf>
    <xf numFmtId="165" fontId="0" fillId="0" borderId="7" xfId="0" applyNumberFormat="1" applyBorder="1"/>
    <xf numFmtId="166" fontId="0" fillId="0" borderId="7" xfId="0" applyNumberFormat="1" applyBorder="1"/>
    <xf numFmtId="0" fontId="31" fillId="0" borderId="8" xfId="0" applyFont="1" applyBorder="1"/>
    <xf numFmtId="0" fontId="2" fillId="0" borderId="11" xfId="0" applyFont="1" applyBorder="1" applyAlignment="1">
      <alignment horizontal="center"/>
    </xf>
    <xf numFmtId="0" fontId="2" fillId="0" borderId="12" xfId="0" applyFont="1" applyBorder="1" applyAlignment="1">
      <alignment horizontal="center"/>
    </xf>
    <xf numFmtId="0" fontId="2" fillId="0" borderId="11" xfId="0" applyFont="1" applyBorder="1"/>
    <xf numFmtId="166" fontId="0" fillId="0" borderId="12" xfId="0" applyNumberFormat="1" applyBorder="1"/>
    <xf numFmtId="0" fontId="2" fillId="0" borderId="13" xfId="0" applyFont="1" applyBorder="1"/>
    <xf numFmtId="165" fontId="0" fillId="0" borderId="0" xfId="0" applyNumberFormat="1"/>
    <xf numFmtId="166" fontId="0" fillId="0" borderId="14" xfId="0" applyNumberFormat="1" applyBorder="1"/>
    <xf numFmtId="0" fontId="2" fillId="0" borderId="15" xfId="0" applyFont="1" applyBorder="1"/>
    <xf numFmtId="165" fontId="13" fillId="0" borderId="7" xfId="0" applyNumberFormat="1" applyFont="1" applyBorder="1"/>
    <xf numFmtId="166" fontId="13" fillId="0" borderId="7" xfId="0" applyNumberFormat="1" applyFont="1" applyBorder="1"/>
    <xf numFmtId="166" fontId="13" fillId="0" borderId="12" xfId="0" applyNumberFormat="1" applyFont="1" applyBorder="1"/>
    <xf numFmtId="164" fontId="13" fillId="0" borderId="0" xfId="1" applyNumberFormat="1" applyFont="1" applyFill="1"/>
    <xf numFmtId="165" fontId="2" fillId="0" borderId="16" xfId="0" applyNumberFormat="1" applyFont="1" applyBorder="1"/>
    <xf numFmtId="166" fontId="2" fillId="0" borderId="16" xfId="0" applyNumberFormat="1" applyFont="1" applyBorder="1"/>
    <xf numFmtId="166" fontId="2" fillId="0" borderId="17" xfId="0" applyNumberFormat="1" applyFont="1" applyBorder="1"/>
    <xf numFmtId="0" fontId="0" fillId="0" borderId="0" xfId="0" applyAlignment="1">
      <alignment horizontal="center" wrapText="1"/>
    </xf>
    <xf numFmtId="0" fontId="31" fillId="0" borderId="9" xfId="0" applyFont="1" applyBorder="1" applyAlignment="1">
      <alignment horizontal="center"/>
    </xf>
    <xf numFmtId="0" fontId="31" fillId="0" borderId="10" xfId="0" applyFont="1" applyBorder="1" applyAlignment="1">
      <alignment horizontal="center"/>
    </xf>
    <xf numFmtId="0" fontId="16" fillId="0" borderId="0" xfId="0" applyFont="1" applyAlignment="1">
      <alignment horizontal="left" wrapText="1"/>
    </xf>
    <xf numFmtId="0" fontId="4" fillId="0" borderId="0" xfId="0" applyFont="1" applyAlignment="1">
      <alignment horizontal="center" wrapText="1"/>
    </xf>
    <xf numFmtId="0" fontId="0" fillId="0" borderId="0" xfId="0" applyAlignment="1">
      <alignment horizontal="left" wrapText="1"/>
    </xf>
  </cellXfs>
  <cellStyles count="3">
    <cellStyle name="Comma" xfId="1" builtinId="3"/>
    <cellStyle name="Normal" xfId="0" builtinId="0"/>
    <cellStyle name="Per 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2.xml"/><Relationship Id="rId20"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externalLink" Target="externalLinks/externalLink1.xml"/><Relationship Id="rId23"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g"/><Relationship Id="rId1" Type="http://schemas.openxmlformats.org/officeDocument/2006/relationships/image" Target="../media/image1.jpe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1" Type="http://schemas.openxmlformats.org/officeDocument/2006/relationships/image" Target="../media/image8.emf"/></Relationships>
</file>

<file path=xl/drawings/_rels/drawing3.xml.rels><?xml version="1.0" encoding="UTF-8" standalone="yes"?>
<Relationships xmlns="http://schemas.openxmlformats.org/package/2006/relationships"><Relationship Id="rId2" Type="http://schemas.openxmlformats.org/officeDocument/2006/relationships/image" Target="cid:image001.jpg@01D7EDBB.5050F870" TargetMode="External"/><Relationship Id="rId1" Type="http://schemas.openxmlformats.org/officeDocument/2006/relationships/image" Target="../media/image9.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0.png"/></Relationships>
</file>

<file path=xl/drawings/_rels/drawing5.xml.rels><?xml version="1.0" encoding="UTF-8" standalone="yes"?>
<Relationships xmlns="http://schemas.openxmlformats.org/package/2006/relationships"><Relationship Id="rId1" Type="http://schemas.openxmlformats.org/officeDocument/2006/relationships/image" Target="../media/image1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7.jpeg"/></Relationships>
</file>

<file path=xl/drawings/drawing1.xml><?xml version="1.0" encoding="utf-8"?>
<xdr:wsDr xmlns:xdr="http://schemas.openxmlformats.org/drawingml/2006/spreadsheetDrawing" xmlns:a="http://schemas.openxmlformats.org/drawingml/2006/main">
  <xdr:twoCellAnchor editAs="oneCell">
    <xdr:from>
      <xdr:col>9</xdr:col>
      <xdr:colOff>28575</xdr:colOff>
      <xdr:row>1</xdr:row>
      <xdr:rowOff>38103</xdr:rowOff>
    </xdr:from>
    <xdr:to>
      <xdr:col>16</xdr:col>
      <xdr:colOff>92805</xdr:colOff>
      <xdr:row>12</xdr:row>
      <xdr:rowOff>211252</xdr:rowOff>
    </xdr:to>
    <xdr:pic>
      <xdr:nvPicPr>
        <xdr:cNvPr id="3" name="Afbeelding 2">
          <a:extLst>
            <a:ext uri="{FF2B5EF4-FFF2-40B4-BE49-F238E27FC236}">
              <a16:creationId xmlns:a16="http://schemas.microsoft.com/office/drawing/2014/main" id="{29CFCA2D-2AD1-4AC8-B560-084277676E0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134225" y="209553"/>
          <a:ext cx="4320000" cy="2652824"/>
        </a:xfrm>
        <a:prstGeom prst="rect">
          <a:avLst/>
        </a:prstGeom>
      </xdr:spPr>
    </xdr:pic>
    <xdr:clientData/>
  </xdr:twoCellAnchor>
  <xdr:twoCellAnchor editAs="oneCell">
    <xdr:from>
      <xdr:col>17</xdr:col>
      <xdr:colOff>38100</xdr:colOff>
      <xdr:row>1</xdr:row>
      <xdr:rowOff>38117</xdr:rowOff>
    </xdr:from>
    <xdr:to>
      <xdr:col>24</xdr:col>
      <xdr:colOff>94710</xdr:colOff>
      <xdr:row>12</xdr:row>
      <xdr:rowOff>644120</xdr:rowOff>
    </xdr:to>
    <xdr:pic>
      <xdr:nvPicPr>
        <xdr:cNvPr id="5" name="Afbeelding 4">
          <a:extLst>
            <a:ext uri="{FF2B5EF4-FFF2-40B4-BE49-F238E27FC236}">
              <a16:creationId xmlns:a16="http://schemas.microsoft.com/office/drawing/2014/main" id="{F5F1F441-FAB5-452B-B6C5-E6520FC5D587}"/>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2020550" y="209567"/>
          <a:ext cx="4320000" cy="3057420"/>
        </a:xfrm>
        <a:prstGeom prst="rect">
          <a:avLst/>
        </a:prstGeom>
      </xdr:spPr>
    </xdr:pic>
    <xdr:clientData/>
  </xdr:twoCellAnchor>
  <xdr:twoCellAnchor editAs="oneCell">
    <xdr:from>
      <xdr:col>17</xdr:col>
      <xdr:colOff>19050</xdr:colOff>
      <xdr:row>22</xdr:row>
      <xdr:rowOff>57151</xdr:rowOff>
    </xdr:from>
    <xdr:to>
      <xdr:col>24</xdr:col>
      <xdr:colOff>60420</xdr:colOff>
      <xdr:row>37</xdr:row>
      <xdr:rowOff>59423</xdr:rowOff>
    </xdr:to>
    <xdr:pic>
      <xdr:nvPicPr>
        <xdr:cNvPr id="7" name="Afbeelding 6">
          <a:extLst>
            <a:ext uri="{FF2B5EF4-FFF2-40B4-BE49-F238E27FC236}">
              <a16:creationId xmlns:a16="http://schemas.microsoft.com/office/drawing/2014/main" id="{6C605D9F-3A1F-4963-B2A9-1FF543060C81}"/>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2001500" y="3476626"/>
          <a:ext cx="4320000" cy="3720832"/>
        </a:xfrm>
        <a:prstGeom prst="rect">
          <a:avLst/>
        </a:prstGeom>
      </xdr:spPr>
    </xdr:pic>
    <xdr:clientData/>
  </xdr:twoCellAnchor>
  <xdr:twoCellAnchor editAs="oneCell">
    <xdr:from>
      <xdr:col>9</xdr:col>
      <xdr:colOff>9525</xdr:colOff>
      <xdr:row>18</xdr:row>
      <xdr:rowOff>9525</xdr:rowOff>
    </xdr:from>
    <xdr:to>
      <xdr:col>16</xdr:col>
      <xdr:colOff>58515</xdr:colOff>
      <xdr:row>27</xdr:row>
      <xdr:rowOff>206120</xdr:rowOff>
    </xdr:to>
    <xdr:pic>
      <xdr:nvPicPr>
        <xdr:cNvPr id="8" name="Afbeelding 7">
          <a:extLst>
            <a:ext uri="{FF2B5EF4-FFF2-40B4-BE49-F238E27FC236}">
              <a16:creationId xmlns:a16="http://schemas.microsoft.com/office/drawing/2014/main" id="{1DCADCB4-FCC5-4C33-B658-B0ED4C57FA64}"/>
            </a:ext>
          </a:extLst>
        </xdr:cNvPr>
        <xdr:cNvPicPr>
          <a:picLocks noChangeAspect="1"/>
        </xdr:cNvPicPr>
      </xdr:nvPicPr>
      <xdr:blipFill>
        <a:blip xmlns:r="http://schemas.openxmlformats.org/officeDocument/2006/relationships" r:embed="rId4"/>
        <a:stretch>
          <a:fillRect/>
        </a:stretch>
      </xdr:blipFill>
      <xdr:spPr>
        <a:xfrm>
          <a:off x="7115175" y="3124200"/>
          <a:ext cx="4320000" cy="2417825"/>
        </a:xfrm>
        <a:prstGeom prst="rect">
          <a:avLst/>
        </a:prstGeom>
      </xdr:spPr>
    </xdr:pic>
    <xdr:clientData/>
  </xdr:twoCellAnchor>
  <xdr:twoCellAnchor editAs="oneCell">
    <xdr:from>
      <xdr:col>9</xdr:col>
      <xdr:colOff>19050</xdr:colOff>
      <xdr:row>30</xdr:row>
      <xdr:rowOff>9525</xdr:rowOff>
    </xdr:from>
    <xdr:to>
      <xdr:col>16</xdr:col>
      <xdr:colOff>60420</xdr:colOff>
      <xdr:row>39</xdr:row>
      <xdr:rowOff>207367</xdr:rowOff>
    </xdr:to>
    <xdr:pic>
      <xdr:nvPicPr>
        <xdr:cNvPr id="9" name="Afbeelding 8">
          <a:extLst>
            <a:ext uri="{FF2B5EF4-FFF2-40B4-BE49-F238E27FC236}">
              <a16:creationId xmlns:a16="http://schemas.microsoft.com/office/drawing/2014/main" id="{721385A6-4443-4E5C-B6FE-31EC513E6F6F}"/>
            </a:ext>
          </a:extLst>
        </xdr:cNvPr>
        <xdr:cNvPicPr>
          <a:picLocks noChangeAspect="1"/>
        </xdr:cNvPicPr>
      </xdr:nvPicPr>
      <xdr:blipFill>
        <a:blip xmlns:r="http://schemas.openxmlformats.org/officeDocument/2006/relationships" r:embed="rId5"/>
        <a:stretch>
          <a:fillRect/>
        </a:stretch>
      </xdr:blipFill>
      <xdr:spPr>
        <a:xfrm>
          <a:off x="7124700" y="6096000"/>
          <a:ext cx="4320000" cy="2415262"/>
        </a:xfrm>
        <a:prstGeom prst="rect">
          <a:avLst/>
        </a:prstGeom>
      </xdr:spPr>
    </xdr:pic>
    <xdr:clientData/>
  </xdr:twoCellAnchor>
  <xdr:twoCellAnchor editAs="oneCell">
    <xdr:from>
      <xdr:col>17</xdr:col>
      <xdr:colOff>9525</xdr:colOff>
      <xdr:row>38</xdr:row>
      <xdr:rowOff>19053</xdr:rowOff>
    </xdr:from>
    <xdr:to>
      <xdr:col>24</xdr:col>
      <xdr:colOff>58515</xdr:colOff>
      <xdr:row>45</xdr:row>
      <xdr:rowOff>54693</xdr:rowOff>
    </xdr:to>
    <xdr:pic>
      <xdr:nvPicPr>
        <xdr:cNvPr id="4" name="Afbeelding 3">
          <a:extLst>
            <a:ext uri="{FF2B5EF4-FFF2-40B4-BE49-F238E27FC236}">
              <a16:creationId xmlns:a16="http://schemas.microsoft.com/office/drawing/2014/main" id="{15EC140C-09D0-4A50-A42D-77AAB77F7157}"/>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11991975" y="8086728"/>
          <a:ext cx="4320000" cy="17730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13</xdr:row>
      <xdr:rowOff>0</xdr:rowOff>
    </xdr:from>
    <xdr:to>
      <xdr:col>2</xdr:col>
      <xdr:colOff>304800</xdr:colOff>
      <xdr:row>25</xdr:row>
      <xdr:rowOff>47625</xdr:rowOff>
    </xdr:to>
    <xdr:pic>
      <xdr:nvPicPr>
        <xdr:cNvPr id="2" name="Afbeelding 1">
          <a:extLst>
            <a:ext uri="{FF2B5EF4-FFF2-40B4-BE49-F238E27FC236}">
              <a16:creationId xmlns:a16="http://schemas.microsoft.com/office/drawing/2014/main" id="{4983F921-527A-470E-A06C-D7393A0549F2}"/>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695575"/>
          <a:ext cx="2895600" cy="2105025"/>
        </a:xfrm>
        <a:prstGeom prst="rect">
          <a:avLst/>
        </a:prstGeom>
        <a:noFill/>
        <a:ln>
          <a:noFill/>
        </a:ln>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46</xdr:row>
      <xdr:rowOff>76200</xdr:rowOff>
    </xdr:from>
    <xdr:to>
      <xdr:col>8</xdr:col>
      <xdr:colOff>533400</xdr:colOff>
      <xdr:row>57</xdr:row>
      <xdr:rowOff>160020</xdr:rowOff>
    </xdr:to>
    <xdr:pic>
      <xdr:nvPicPr>
        <xdr:cNvPr id="2" name="Afbeelding 1">
          <a:extLst>
            <a:ext uri="{FF2B5EF4-FFF2-40B4-BE49-F238E27FC236}">
              <a16:creationId xmlns:a16="http://schemas.microsoft.com/office/drawing/2014/main" id="{72BD2AB5-8F1D-42E6-963C-8AFF350575EF}"/>
            </a:ext>
          </a:extLst>
        </xdr:cNvPr>
        <xdr:cNvPicPr>
          <a:picLocks noChangeAspect="1" noChangeArrowheads="1"/>
        </xdr:cNvPicPr>
      </xdr:nvPicPr>
      <xdr:blipFill>
        <a:blip xmlns:r="http://schemas.openxmlformats.org/officeDocument/2006/relationships" r:embed="rId1" r:link="rId2">
          <a:extLst>
            <a:ext uri="{28A0092B-C50C-407E-A947-70E740481C1C}">
              <a14:useLocalDpi xmlns:a14="http://schemas.microsoft.com/office/drawing/2010/main" val="0"/>
            </a:ext>
          </a:extLst>
        </a:blip>
        <a:srcRect/>
        <a:stretch>
          <a:fillRect/>
        </a:stretch>
      </xdr:blipFill>
      <xdr:spPr bwMode="auto">
        <a:xfrm>
          <a:off x="0" y="5585460"/>
          <a:ext cx="10485120" cy="19735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4</xdr:col>
      <xdr:colOff>99061</xdr:colOff>
      <xdr:row>33</xdr:row>
      <xdr:rowOff>7620</xdr:rowOff>
    </xdr:from>
    <xdr:to>
      <xdr:col>15</xdr:col>
      <xdr:colOff>2233</xdr:colOff>
      <xdr:row>40</xdr:row>
      <xdr:rowOff>754380</xdr:rowOff>
    </xdr:to>
    <xdr:pic>
      <xdr:nvPicPr>
        <xdr:cNvPr id="3" name="Afbeelding 2">
          <a:extLst>
            <a:ext uri="{FF2B5EF4-FFF2-40B4-BE49-F238E27FC236}">
              <a16:creationId xmlns:a16="http://schemas.microsoft.com/office/drawing/2014/main" id="{64F53916-ED5E-49D5-80FF-B2A83BE8C4C0}"/>
            </a:ext>
          </a:extLst>
        </xdr:cNvPr>
        <xdr:cNvPicPr>
          <a:picLocks noChangeAspect="1"/>
        </xdr:cNvPicPr>
      </xdr:nvPicPr>
      <xdr:blipFill>
        <a:blip xmlns:r="http://schemas.openxmlformats.org/officeDocument/2006/relationships" r:embed="rId1"/>
        <a:stretch>
          <a:fillRect/>
        </a:stretch>
      </xdr:blipFill>
      <xdr:spPr>
        <a:xfrm>
          <a:off x="5059681" y="5600700"/>
          <a:ext cx="10761672" cy="756666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1</xdr:colOff>
      <xdr:row>24</xdr:row>
      <xdr:rowOff>158557</xdr:rowOff>
    </xdr:from>
    <xdr:to>
      <xdr:col>1</xdr:col>
      <xdr:colOff>6722746</xdr:colOff>
      <xdr:row>39</xdr:row>
      <xdr:rowOff>3354</xdr:rowOff>
    </xdr:to>
    <xdr:pic>
      <xdr:nvPicPr>
        <xdr:cNvPr id="2" name="Afbeelding 1">
          <a:extLst>
            <a:ext uri="{FF2B5EF4-FFF2-40B4-BE49-F238E27FC236}">
              <a16:creationId xmlns:a16="http://schemas.microsoft.com/office/drawing/2014/main" id="{E1C7DFB6-8FC8-4AC4-A3C5-0B2932A2DA83}"/>
            </a:ext>
          </a:extLst>
        </xdr:cNvPr>
        <xdr:cNvPicPr>
          <a:picLocks noChangeAspect="1"/>
        </xdr:cNvPicPr>
      </xdr:nvPicPr>
      <xdr:blipFill>
        <a:blip xmlns:r="http://schemas.openxmlformats.org/officeDocument/2006/relationships" r:embed="rId1"/>
        <a:stretch>
          <a:fillRect/>
        </a:stretch>
      </xdr:blipFill>
      <xdr:spPr>
        <a:xfrm>
          <a:off x="609601" y="7702357"/>
          <a:ext cx="6827520" cy="2353682"/>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Sligro"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Konings%20drink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ligro"/>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onings drinks"/>
    </sheetNames>
    <sheetDataSet>
      <sheetData sheetId="0" refreshError="1"/>
    </sheetDataSet>
  </externalBook>
</externalLink>
</file>

<file path=xl/persons/person.xml><?xml version="1.0" encoding="utf-8"?>
<personList xmlns="http://schemas.microsoft.com/office/spreadsheetml/2018/threadedcomments" xmlns:x="http://schemas.openxmlformats.org/spreadsheetml/2006/main">
  <person displayName="Postmus, M.J. (Marianne)" id="{E53F0039-4A28-45FC-B3E9-ED0B480C55ED}" userId="S::marianne.postmus@croonwolterendros.nl::fae7683a-4c29-4135-a7ad-a396279fa57f"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D3" dT="2021-12-07T11:09:39.99" personId="{E53F0039-4A28-45FC-B3E9-ED0B480C55ED}" id="{DF955AD6-25B5-4A9A-B490-D604743B60B6}">
    <text>Document Zero Emissie Breda</text>
  </threadedComment>
  <threadedComment ref="G3" dT="2021-12-14T14:51:02.52" personId="{E53F0039-4A28-45FC-B3E9-ED0B480C55ED}" id="{5C36E7C3-A746-4D5D-9CFD-3E86BF755481}">
    <text>3*450 KW 3 laders pantograaf</text>
  </threadedComment>
  <threadedComment ref="I4" dT="2021-12-14T14:50:41.53" personId="{E53F0039-4A28-45FC-B3E9-ED0B480C55ED}" id="{F891E3C5-1593-4A40-9307-FD0EB3CE9547}">
    <text>6*450 KW</text>
  </threadedComment>
  <threadedComment ref="J4" dT="2021-12-14T14:50:31.72" personId="{E53F0039-4A28-45FC-B3E9-ED0B480C55ED}" id="{1877B87B-7BEA-4FC2-87C6-050B76695CC9}">
    <text>100*60 KW</text>
  </threadedComment>
  <threadedComment ref="K6" dT="2021-12-14T14:55:38.40" personId="{E53F0039-4A28-45FC-B3E9-ED0B480C55ED}" id="{BBA8F675-B9A3-44B2-A754-E4DABE3A4979}">
    <text>9 snelladers 450 KW</text>
  </threadedComment>
  <threadedComment ref="L6" dT="2021-12-14T14:53:53.16" personId="{E53F0039-4A28-45FC-B3E9-ED0B480C55ED}" id="{6423E355-55BA-4A25-856F-6B4E148C8DD5}">
    <text>80% 188 bussen laad 'nachts</text>
  </threadedComment>
  <threadedComment ref="C16" dT="2022-01-11T15:34:45.02" personId="{E53F0039-4A28-45FC-B3E9-ED0B480C55ED}" id="{E4991B48-6296-400E-A3F9-7E8FAD561573}">
    <text>200 meter * 100 meter (Google maps); ruimte voor zon inschatting 50*25 m</text>
  </threadedComment>
</ThreadedComments>
</file>

<file path=xl/threadedComments/threadedComment2.xml><?xml version="1.0" encoding="utf-8"?>
<ThreadedComments xmlns="http://schemas.microsoft.com/office/spreadsheetml/2018/threadedcomments" xmlns:x="http://schemas.openxmlformats.org/spreadsheetml/2006/main">
  <threadedComment ref="F9" dT="2021-12-14T16:31:54.85" personId="{E53F0039-4A28-45FC-B3E9-ED0B480C55ED}" id="{2A013E22-3594-43F1-9D3D-33870FE898DE}">
    <text>4 snelladers</text>
  </threadedComment>
  <threadedComment ref="G9" dT="2021-12-14T16:30:15.38" personId="{E53F0039-4A28-45FC-B3E9-ED0B480C55ED}" id="{9FF6FF89-A817-45E1-AE69-A26B1256A6B2}">
    <text>Stel in 2025 de helft elektrisch; 80% laadt in de nacht</text>
  </threadedComment>
  <threadedComment ref="H9" dT="2021-12-14T16:32:09.09" personId="{E53F0039-4A28-45FC-B3E9-ED0B480C55ED}" id="{6606A4A0-E1F2-448D-9C0B-A58B60056178}">
    <text>6 snelladers</text>
  </threadedComment>
  <threadedComment ref="I9" dT="2021-12-14T16:30:54.69" personId="{E53F0039-4A28-45FC-B3E9-ED0B480C55ED}" id="{A1EFE863-A495-42E4-A92B-80FA7535C119}">
    <text>Volledige vloot vrachtwagens elektrisch; 80% in de nacht gelijktijdig</text>
  </threadedComment>
</ThreadedComments>
</file>

<file path=xl/threadedComments/threadedComment3.xml><?xml version="1.0" encoding="utf-8"?>
<ThreadedComments xmlns="http://schemas.microsoft.com/office/spreadsheetml/2018/threadedcomments" xmlns:x="http://schemas.openxmlformats.org/spreadsheetml/2006/main">
  <threadedComment ref="D3" dT="2022-01-12T07:59:15.33" personId="{E53F0039-4A28-45FC-B3E9-ED0B480C55ED}" id="{EA886A34-5BF4-4C28-9143-221A0C970F79}">
    <text>Verbruik kantoor oppervlakte volgens BENG</text>
  </threadedComment>
  <threadedComment ref="B7" dT="2022-01-12T07:39:57.87" personId="{E53F0039-4A28-45FC-B3E9-ED0B480C55ED}" id="{D9C854D7-673F-448E-AC9B-D7159FA57CEF}">
    <text>Kantoorruimte dak / 2 (indien gestapeld)</text>
  </threadedComment>
</ThreadedComments>
</file>

<file path=xl/threadedComments/threadedComment4.xml><?xml version="1.0" encoding="utf-8"?>
<ThreadedComments xmlns="http://schemas.microsoft.com/office/spreadsheetml/2018/threadedcomments" xmlns:x="http://schemas.openxmlformats.org/spreadsheetml/2006/main">
  <threadedComment ref="F4" dT="2021-12-14T15:12:09.61" personId="{E53F0039-4A28-45FC-B3E9-ED0B480C55ED}" id="{1EA89683-6B67-4D50-ADB6-F0A75805337F}">
    <text>50% vrachtwagens een snellader 200 KW</text>
  </threadedComment>
  <threadedComment ref="H4" dT="2021-12-14T15:13:12.40" personId="{E53F0039-4A28-45FC-B3E9-ED0B480C55ED}" id="{543FCA0B-7C31-42F7-B75F-8E4BB4034F26}">
    <text>100% vrachtwagens een snellader 200 KW</text>
  </threadedComment>
</ThreadedComments>
</file>

<file path=xl/threadedComments/threadedComment5.xml><?xml version="1.0" encoding="utf-8"?>
<ThreadedComments xmlns="http://schemas.microsoft.com/office/spreadsheetml/2018/threadedcomments" xmlns:x="http://schemas.openxmlformats.org/spreadsheetml/2006/main">
  <threadedComment ref="E2" dT="2022-01-11T15:03:23.87" personId="{E53F0039-4A28-45FC-B3E9-ED0B480C55ED}" id="{4BB8D61A-749E-4C71-9AC6-929C27D92827}">
    <text>Inschatting van maatwerk extra 8 MW</text>
  </threadedComment>
  <threadedComment ref="E3" dT="2022-01-11T15:16:41.67" personId="{E53F0039-4A28-45FC-B3E9-ED0B480C55ED}" id="{BC5DB127-5220-48C0-B8FD-F45DC3985614}">
    <text>Stroomtarief 15 cent per kWh; indien opwek gelijk is aan gebruik. Na 7,5 jaar gaat zonopwek renderen. 2,5 levert het geld op tijdens de looptijd van 10 jaar
Zie vuistregel 6</text>
  </threadedComment>
  <threadedComment ref="F3" dT="2022-01-11T14:43:53.94" personId="{E53F0039-4A28-45FC-B3E9-ED0B480C55ED}" id="{C30C395E-4FEE-44CE-85EF-220D6013CF50}">
    <text>Aantal panelen mogelijk * kosten per paneel
Zie vuistregel 3</text>
  </threadedComment>
  <threadedComment ref="G3" dT="2022-01-11T15:20:56.34" personId="{E53F0039-4A28-45FC-B3E9-ED0B480C55ED}" id="{7BEC6822-45D7-4D07-8617-A27D8D329661}">
    <text>Zie vuistregel 4</text>
  </threadedComment>
  <threadedComment ref="H3" dT="2022-01-11T15:21:22.44" personId="{E53F0039-4A28-45FC-B3E9-ED0B480C55ED}" id="{47830F81-8D1F-4AEE-8B4D-85669EDC5477}">
    <text>Zie vuistregel 5</text>
  </threadedComment>
  <threadedComment ref="J3" dT="2022-01-11T15:21:58.29" personId="{E53F0039-4A28-45FC-B3E9-ED0B480C55ED}" id="{1A592525-1FB4-45D0-9E8C-39E742094C22}">
    <text>Zie vuistregel 7</text>
  </threadedComment>
  <threadedComment ref="L3" dT="2022-01-12T08:53:01.81" personId="{E53F0039-4A28-45FC-B3E9-ED0B480C55ED}" id="{2835926F-7D52-42FF-B0DE-FF7947A27E1D}">
    <text>naar rato kantoorruimte gemeente; inschatting 50 medewerkers</text>
  </threadedComment>
  <threadedComment ref="E5" dT="2022-01-11T15:16:41.67" personId="{E53F0039-4A28-45FC-B3E9-ED0B480C55ED}" id="{7FABC665-934C-4866-A399-1F5B5D0E6809}">
    <text>Stroomtarief 15 cent per kWh; indien opwek gelijk is aan gebruik. Na 7,5 jaar gaat zonopwek renderen. 2,5 levert het geld op tijdens de looptijd van 10 jaar
Zie vuistregel 6</text>
  </threadedComment>
  <threadedComment ref="F5" dT="2022-01-11T14:43:53.94" personId="{E53F0039-4A28-45FC-B3E9-ED0B480C55ED}" id="{55732FE9-AB0E-4876-BD99-829EE84C1DA7}">
    <text>Aantal panelen mogelijk * kosten per paneel
Zie vuistregel 3</text>
  </threadedComment>
  <threadedComment ref="G5" dT="2022-01-11T15:20:56.34" personId="{E53F0039-4A28-45FC-B3E9-ED0B480C55ED}" id="{D269B65A-9381-4ED9-8CAA-E2916245073C}">
    <text>Zie vuistregel 4</text>
  </threadedComment>
  <threadedComment ref="H5" dT="2022-01-11T15:21:22.44" personId="{E53F0039-4A28-45FC-B3E9-ED0B480C55ED}" id="{6DE2A2C6-45AF-43DD-9FCA-D15E18DFA774}">
    <text>Zie vuistregel 5</text>
  </threadedComment>
  <threadedComment ref="J5" dT="2022-01-11T15:21:58.29" personId="{E53F0039-4A28-45FC-B3E9-ED0B480C55ED}" id="{793F3783-CCFB-4C87-9E65-2B7F2690E546}">
    <text>Zie vuistregel 7</text>
  </threadedComment>
  <threadedComment ref="L5" dT="2022-01-11T15:34:45.02" personId="{E53F0039-4A28-45FC-B3E9-ED0B480C55ED}" id="{ABBCF2BD-AAF0-474D-9786-FE57E4D2B0C1}">
    <text>200 meter * 100 meter (Google maps); ruimte voor zon inschatting 50*25 m</text>
  </threadedComment>
  <threadedComment ref="E6" dT="2022-01-11T16:32:22.70" personId="{E53F0039-4A28-45FC-B3E9-ED0B480C55ED}" id="{94DB6615-DC5D-4EC4-B399-B3DD91CFD735}">
    <text>9% besparing op stroomkosten bij BREEAM comfort niveau</text>
  </threadedComment>
  <threadedComment ref="H6" dT="2022-01-11T15:21:22.44" personId="{E53F0039-4A28-45FC-B3E9-ED0B480C55ED}" id="{A9967915-0E68-4CAD-A5C2-944190ACE984}">
    <text>Zie vuistregel 5</text>
  </threadedComment>
  <threadedComment ref="E7" dT="2022-01-11T16:51:30.62" personId="{E53F0039-4A28-45FC-B3E9-ED0B480C55ED}" id="{6F68480C-1AF1-4D5F-AE9A-E3897B1AD40C}">
    <text>Stel dat de meerkosten voor de gemeente voor een 6 MVA aansluiting worden gedeeld met de Provincie. Gemeente heeft nb 3 MVA nodig</text>
  </threadedComment>
  <threadedComment ref="F7" dT="2022-01-12T07:21:37.53" personId="{E53F0039-4A28-45FC-B3E9-ED0B480C55ED}" id="{836E3C8C-1204-4585-A2A2-D1A2C6B1A84E}">
    <text>Kosten 50 uur afstemming. PS; modelovereenkomst MLOEA vanuit NVDE beschikbaar</text>
  </threadedComment>
</ThreadedComments>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6.vml"/><Relationship Id="rId1" Type="http://schemas.openxmlformats.org/officeDocument/2006/relationships/printerSettings" Target="../printerSettings/printerSettings13.bin"/><Relationship Id="rId4" Type="http://schemas.microsoft.com/office/2017/10/relationships/threadedComment" Target="../threadedComments/threadedComment5.xm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2.vml"/><Relationship Id="rId1" Type="http://schemas.openxmlformats.org/officeDocument/2006/relationships/printerSettings" Target="../printerSettings/printerSettings4.bin"/><Relationship Id="rId4" Type="http://schemas.microsoft.com/office/2017/10/relationships/threadedComment" Target="../threadedComments/threadedComment1.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5.bin"/><Relationship Id="rId5" Type="http://schemas.microsoft.com/office/2017/10/relationships/threadedComment" Target="../threadedComments/threadedComment2.xml"/><Relationship Id="rId4" Type="http://schemas.openxmlformats.org/officeDocument/2006/relationships/comments" Target="../comments2.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6.bin"/><Relationship Id="rId5" Type="http://schemas.microsoft.com/office/2017/10/relationships/threadedComment" Target="../threadedComments/threadedComment3.xml"/><Relationship Id="rId4" Type="http://schemas.openxmlformats.org/officeDocument/2006/relationships/comments" Target="../comments3.xml"/></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5.vml"/><Relationship Id="rId1" Type="http://schemas.openxmlformats.org/officeDocument/2006/relationships/printerSettings" Target="../printerSettings/printerSettings7.bin"/><Relationship Id="rId4" Type="http://schemas.microsoft.com/office/2017/10/relationships/threadedComment" Target="../threadedComments/threadedComment4.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83C80C-52E8-4C41-AA10-2E03F62B98DB}">
  <sheetPr>
    <pageSetUpPr fitToPage="1"/>
  </sheetPr>
  <dimension ref="A1:R61"/>
  <sheetViews>
    <sheetView topLeftCell="A49" zoomScale="120" zoomScaleNormal="120" workbookViewId="0">
      <selection activeCell="B59" sqref="B59:I59"/>
    </sheetView>
  </sheetViews>
  <sheetFormatPr baseColWidth="10" defaultColWidth="8.83203125" defaultRowHeight="13" x14ac:dyDescent="0.15"/>
  <cols>
    <col min="2" max="2" width="27.1640625" customWidth="1"/>
    <col min="3" max="8" width="12.6640625" customWidth="1"/>
  </cols>
  <sheetData>
    <row r="1" spans="1:8" ht="14" thickBot="1" x14ac:dyDescent="0.2"/>
    <row r="2" spans="1:8" s="79" customFormat="1" x14ac:dyDescent="0.15">
      <c r="B2" s="84"/>
      <c r="C2" s="101">
        <v>2023</v>
      </c>
      <c r="D2" s="101"/>
      <c r="E2" s="101">
        <v>2025</v>
      </c>
      <c r="F2" s="101"/>
      <c r="G2" s="101">
        <v>2030</v>
      </c>
      <c r="H2" s="102"/>
    </row>
    <row r="3" spans="1:8" s="80" customFormat="1" x14ac:dyDescent="0.15">
      <c r="B3" s="85"/>
      <c r="C3" s="81" t="s">
        <v>0</v>
      </c>
      <c r="D3" s="81" t="s">
        <v>1</v>
      </c>
      <c r="E3" s="81" t="s">
        <v>2</v>
      </c>
      <c r="F3" s="81" t="s">
        <v>1</v>
      </c>
      <c r="G3" s="81" t="s">
        <v>2</v>
      </c>
      <c r="H3" s="86" t="s">
        <v>1</v>
      </c>
    </row>
    <row r="4" spans="1:8" x14ac:dyDescent="0.15">
      <c r="B4" s="87" t="s">
        <v>3</v>
      </c>
      <c r="C4" s="82">
        <v>17500</v>
      </c>
      <c r="D4" s="83">
        <v>5150</v>
      </c>
      <c r="E4" s="82">
        <v>21000</v>
      </c>
      <c r="F4" s="83">
        <v>6000</v>
      </c>
      <c r="G4" s="82">
        <v>31500</v>
      </c>
      <c r="H4" s="88">
        <v>9024</v>
      </c>
    </row>
    <row r="5" spans="1:8" x14ac:dyDescent="0.15">
      <c r="B5" s="87" t="s">
        <v>4</v>
      </c>
      <c r="C5" s="82">
        <v>800</v>
      </c>
      <c r="D5" s="83">
        <v>250</v>
      </c>
      <c r="E5" s="82">
        <v>5000</v>
      </c>
      <c r="F5" s="83">
        <v>1589</v>
      </c>
      <c r="G5" s="82">
        <v>10000</v>
      </c>
      <c r="H5" s="88">
        <v>3137</v>
      </c>
    </row>
    <row r="6" spans="1:8" x14ac:dyDescent="0.15">
      <c r="B6" s="87" t="s">
        <v>5</v>
      </c>
      <c r="C6" s="93">
        <v>150</v>
      </c>
      <c r="D6" s="94">
        <v>100</v>
      </c>
      <c r="E6" s="93">
        <v>900</v>
      </c>
      <c r="F6" s="94">
        <f>D6</f>
        <v>100</v>
      </c>
      <c r="G6" s="93">
        <v>900</v>
      </c>
      <c r="H6" s="95">
        <f>F6</f>
        <v>100</v>
      </c>
    </row>
    <row r="7" spans="1:8" x14ac:dyDescent="0.15">
      <c r="B7" s="87" t="s">
        <v>6</v>
      </c>
      <c r="C7" s="93">
        <v>3200</v>
      </c>
      <c r="D7" s="94">
        <v>1000</v>
      </c>
      <c r="E7" s="93">
        <v>5000</v>
      </c>
      <c r="F7" s="94">
        <v>1500</v>
      </c>
      <c r="G7" s="93">
        <v>16500</v>
      </c>
      <c r="H7" s="95">
        <v>4850</v>
      </c>
    </row>
    <row r="8" spans="1:8" x14ac:dyDescent="0.15">
      <c r="B8" s="87" t="s">
        <v>7</v>
      </c>
      <c r="C8" s="93">
        <f>(2500*150)/1000</f>
        <v>375</v>
      </c>
      <c r="D8" s="94">
        <v>150</v>
      </c>
      <c r="E8" s="93">
        <f>(2500*150)/100</f>
        <v>3750</v>
      </c>
      <c r="F8" s="94">
        <f>D8</f>
        <v>150</v>
      </c>
      <c r="G8" s="93">
        <f>(2500*150)/100</f>
        <v>3750</v>
      </c>
      <c r="H8" s="95">
        <f>F8</f>
        <v>150</v>
      </c>
    </row>
    <row r="9" spans="1:8" x14ac:dyDescent="0.15">
      <c r="B9" s="89"/>
      <c r="C9" s="90"/>
      <c r="D9" s="78"/>
      <c r="E9" s="90"/>
      <c r="F9" s="78"/>
      <c r="G9" s="90"/>
      <c r="H9" s="91"/>
    </row>
    <row r="10" spans="1:8" ht="14" thickBot="1" x14ac:dyDescent="0.2">
      <c r="B10" s="92" t="s">
        <v>8</v>
      </c>
      <c r="C10" s="97">
        <f>SUM(C4:C9)</f>
        <v>22025</v>
      </c>
      <c r="D10" s="98">
        <f t="shared" ref="D10:H10" si="0">SUM(D4:D9)</f>
        <v>6650</v>
      </c>
      <c r="E10" s="97">
        <f t="shared" si="0"/>
        <v>35650</v>
      </c>
      <c r="F10" s="98">
        <f t="shared" si="0"/>
        <v>9339</v>
      </c>
      <c r="G10" s="97">
        <f t="shared" si="0"/>
        <v>62650</v>
      </c>
      <c r="H10" s="99">
        <f t="shared" si="0"/>
        <v>17261</v>
      </c>
    </row>
    <row r="12" spans="1:8" ht="68.5" customHeight="1" x14ac:dyDescent="0.15">
      <c r="A12" t="s">
        <v>9</v>
      </c>
      <c r="B12" s="103" t="s">
        <v>10</v>
      </c>
      <c r="C12" s="103"/>
      <c r="D12" s="103"/>
      <c r="E12" s="103"/>
      <c r="F12" s="103"/>
      <c r="G12" s="103"/>
      <c r="H12" s="103"/>
    </row>
    <row r="13" spans="1:8" ht="59" customHeight="1" x14ac:dyDescent="0.15">
      <c r="A13" t="s">
        <v>11</v>
      </c>
      <c r="B13" s="103" t="s">
        <v>12</v>
      </c>
      <c r="C13" s="103"/>
      <c r="D13" s="103"/>
      <c r="E13" s="103"/>
      <c r="F13" s="103"/>
      <c r="G13" s="103"/>
      <c r="H13" s="103"/>
    </row>
    <row r="15" spans="1:8" ht="20" customHeight="1" x14ac:dyDescent="0.15">
      <c r="B15" t="s">
        <v>13</v>
      </c>
    </row>
    <row r="16" spans="1:8" ht="20" customHeight="1" x14ac:dyDescent="0.15">
      <c r="B16" t="s">
        <v>14</v>
      </c>
    </row>
    <row r="17" spans="2:11" ht="20" customHeight="1" x14ac:dyDescent="0.15">
      <c r="B17" t="s">
        <v>15</v>
      </c>
    </row>
    <row r="18" spans="2:11" ht="20" customHeight="1" x14ac:dyDescent="0.15">
      <c r="B18" t="s">
        <v>16</v>
      </c>
      <c r="E18" s="78"/>
    </row>
    <row r="19" spans="2:11" ht="20" customHeight="1" x14ac:dyDescent="0.15">
      <c r="B19" t="s">
        <v>17</v>
      </c>
    </row>
    <row r="20" spans="2:11" ht="20" customHeight="1" x14ac:dyDescent="0.15">
      <c r="B20" t="s">
        <v>18</v>
      </c>
    </row>
    <row r="21" spans="2:11" ht="20" customHeight="1" x14ac:dyDescent="0.15">
      <c r="B21" t="s">
        <v>19</v>
      </c>
    </row>
    <row r="22" spans="2:11" ht="20" customHeight="1" x14ac:dyDescent="0.15">
      <c r="B22" t="s">
        <v>20</v>
      </c>
    </row>
    <row r="23" spans="2:11" ht="20" customHeight="1" x14ac:dyDescent="0.15">
      <c r="B23" t="s">
        <v>21</v>
      </c>
    </row>
    <row r="24" spans="2:11" ht="20" customHeight="1" x14ac:dyDescent="0.15">
      <c r="B24" t="s">
        <v>22</v>
      </c>
    </row>
    <row r="25" spans="2:11" ht="20" customHeight="1" x14ac:dyDescent="0.15"/>
    <row r="26" spans="2:11" ht="20" customHeight="1" x14ac:dyDescent="0.15">
      <c r="B26" t="s">
        <v>23</v>
      </c>
    </row>
    <row r="27" spans="2:11" ht="20" customHeight="1" x14ac:dyDescent="0.15">
      <c r="B27" t="s">
        <v>24</v>
      </c>
    </row>
    <row r="28" spans="2:11" ht="20" customHeight="1" x14ac:dyDescent="0.15">
      <c r="B28" t="s">
        <v>25</v>
      </c>
    </row>
    <row r="29" spans="2:11" ht="20" customHeight="1" x14ac:dyDescent="0.15">
      <c r="B29" t="s">
        <v>26</v>
      </c>
      <c r="K29" t="s">
        <v>27</v>
      </c>
    </row>
    <row r="30" spans="2:11" ht="20" customHeight="1" x14ac:dyDescent="0.15">
      <c r="B30" t="s">
        <v>28</v>
      </c>
    </row>
    <row r="31" spans="2:11" ht="20" customHeight="1" x14ac:dyDescent="0.15"/>
    <row r="32" spans="2:11" ht="20" customHeight="1" x14ac:dyDescent="0.15">
      <c r="B32" t="s">
        <v>29</v>
      </c>
    </row>
    <row r="33" spans="2:18" ht="20" customHeight="1" x14ac:dyDescent="0.15">
      <c r="B33" t="s">
        <v>30</v>
      </c>
    </row>
    <row r="34" spans="2:18" ht="20" customHeight="1" x14ac:dyDescent="0.15">
      <c r="B34" t="s">
        <v>31</v>
      </c>
    </row>
    <row r="35" spans="2:18" ht="20" customHeight="1" x14ac:dyDescent="0.15">
      <c r="B35" t="s">
        <v>32</v>
      </c>
    </row>
    <row r="36" spans="2:18" ht="20" customHeight="1" x14ac:dyDescent="0.15">
      <c r="B36" t="s">
        <v>33</v>
      </c>
    </row>
    <row r="37" spans="2:18" ht="20" customHeight="1" x14ac:dyDescent="0.15">
      <c r="B37" t="s">
        <v>34</v>
      </c>
    </row>
    <row r="38" spans="2:18" ht="20" customHeight="1" x14ac:dyDescent="0.15">
      <c r="B38" t="s">
        <v>35</v>
      </c>
    </row>
    <row r="39" spans="2:18" ht="20" customHeight="1" x14ac:dyDescent="0.15"/>
    <row r="40" spans="2:18" ht="20" customHeight="1" x14ac:dyDescent="0.15">
      <c r="B40" t="s">
        <v>36</v>
      </c>
    </row>
    <row r="41" spans="2:18" ht="20" customHeight="1" x14ac:dyDescent="0.15">
      <c r="B41" t="s">
        <v>37</v>
      </c>
      <c r="J41" t="s">
        <v>38</v>
      </c>
    </row>
    <row r="42" spans="2:18" ht="20" customHeight="1" x14ac:dyDescent="0.15">
      <c r="B42" t="s">
        <v>39</v>
      </c>
    </row>
    <row r="43" spans="2:18" ht="20" customHeight="1" x14ac:dyDescent="0.15">
      <c r="B43" t="s">
        <v>40</v>
      </c>
    </row>
    <row r="44" spans="2:18" ht="20" customHeight="1" x14ac:dyDescent="0.15"/>
    <row r="45" spans="2:18" ht="20" customHeight="1" x14ac:dyDescent="0.15">
      <c r="B45" t="s">
        <v>41</v>
      </c>
    </row>
    <row r="46" spans="2:18" ht="20" customHeight="1" x14ac:dyDescent="0.15">
      <c r="B46" t="s">
        <v>42</v>
      </c>
      <c r="R46" t="s">
        <v>43</v>
      </c>
    </row>
    <row r="47" spans="2:18" ht="20" customHeight="1" x14ac:dyDescent="0.15">
      <c r="B47" t="s">
        <v>44</v>
      </c>
      <c r="K47" t="s">
        <v>45</v>
      </c>
    </row>
    <row r="48" spans="2:18" x14ac:dyDescent="0.15">
      <c r="B48" t="s">
        <v>46</v>
      </c>
      <c r="K48" t="s">
        <v>47</v>
      </c>
    </row>
    <row r="49" spans="2:11" x14ac:dyDescent="0.15">
      <c r="B49" s="60" t="s">
        <v>48</v>
      </c>
      <c r="K49" t="s">
        <v>49</v>
      </c>
    </row>
    <row r="51" spans="2:11" x14ac:dyDescent="0.15">
      <c r="B51" t="s">
        <v>50</v>
      </c>
      <c r="K51" t="s">
        <v>51</v>
      </c>
    </row>
    <row r="52" spans="2:11" x14ac:dyDescent="0.15">
      <c r="B52" t="s">
        <v>52</v>
      </c>
      <c r="K52" t="s">
        <v>53</v>
      </c>
    </row>
    <row r="53" spans="2:11" x14ac:dyDescent="0.15">
      <c r="B53" t="s">
        <v>54</v>
      </c>
      <c r="K53" t="s">
        <v>55</v>
      </c>
    </row>
    <row r="54" spans="2:11" x14ac:dyDescent="0.15">
      <c r="B54" t="s">
        <v>56</v>
      </c>
      <c r="K54" t="s">
        <v>57</v>
      </c>
    </row>
    <row r="55" spans="2:11" x14ac:dyDescent="0.15">
      <c r="B55" t="s">
        <v>58</v>
      </c>
      <c r="K55" t="s">
        <v>59</v>
      </c>
    </row>
    <row r="56" spans="2:11" x14ac:dyDescent="0.15">
      <c r="B56" t="s">
        <v>60</v>
      </c>
    </row>
    <row r="59" spans="2:11" ht="129.5" customHeight="1" x14ac:dyDescent="0.15">
      <c r="B59" s="100" t="s">
        <v>61</v>
      </c>
      <c r="C59" s="100"/>
      <c r="D59" s="100"/>
      <c r="E59" s="100"/>
      <c r="F59" s="100"/>
      <c r="G59" s="100"/>
      <c r="H59" s="100"/>
      <c r="I59" s="100"/>
    </row>
    <row r="61" spans="2:11" ht="129.5" customHeight="1" x14ac:dyDescent="0.15">
      <c r="B61" s="100" t="s">
        <v>62</v>
      </c>
      <c r="C61" s="100"/>
      <c r="D61" s="100"/>
      <c r="E61" s="100"/>
      <c r="F61" s="100"/>
      <c r="G61" s="100"/>
      <c r="H61" s="100"/>
      <c r="I61" s="100"/>
    </row>
  </sheetData>
  <mergeCells count="7">
    <mergeCell ref="B61:I61"/>
    <mergeCell ref="C2:D2"/>
    <mergeCell ref="E2:F2"/>
    <mergeCell ref="G2:H2"/>
    <mergeCell ref="B13:H13"/>
    <mergeCell ref="B59:I59"/>
    <mergeCell ref="B12:H12"/>
  </mergeCells>
  <pageMargins left="0.31496062992125984" right="0.31496062992125984" top="0.74803149606299213" bottom="0.74803149606299213" header="0.31496062992125984" footer="0.31496062992125984"/>
  <pageSetup paperSize="9" scale="53" orientation="landscape" cellComments="atEnd" r:id="rId1"/>
  <headerFooter>
    <oddHeader>&amp;L&amp;G&amp;RHoogspanning</oddHeader>
    <oddFooter>&amp;C&amp;P of &amp;N&amp;Lir. Paul Hoorens&amp;R&amp;D
&amp;F
&amp;A</oddFooter>
  </headerFooter>
  <drawing r:id="rId2"/>
  <legacyDrawingHF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845BDA-80DB-4BAA-9F84-F103A0773ABE}">
  <dimension ref="A1:I28"/>
  <sheetViews>
    <sheetView workbookViewId="0">
      <selection activeCell="D3" sqref="D3"/>
    </sheetView>
  </sheetViews>
  <sheetFormatPr baseColWidth="10" defaultColWidth="8.83203125" defaultRowHeight="13" x14ac:dyDescent="0.15"/>
  <cols>
    <col min="1" max="1" width="36" customWidth="1"/>
    <col min="4" max="9" width="18.6640625" customWidth="1"/>
  </cols>
  <sheetData>
    <row r="1" spans="1:9" ht="18" x14ac:dyDescent="0.2">
      <c r="A1" s="4" t="s">
        <v>236</v>
      </c>
      <c r="D1" s="5">
        <v>2023</v>
      </c>
      <c r="E1" s="5">
        <v>2023</v>
      </c>
      <c r="F1" s="5">
        <v>2025</v>
      </c>
      <c r="G1" s="5">
        <v>2025</v>
      </c>
      <c r="H1" s="5">
        <v>2030</v>
      </c>
      <c r="I1" s="5">
        <v>2030</v>
      </c>
    </row>
    <row r="2" spans="1:9" s="8" customFormat="1" x14ac:dyDescent="0.15">
      <c r="A2" s="5" t="s">
        <v>2</v>
      </c>
      <c r="B2" s="5" t="s">
        <v>88</v>
      </c>
      <c r="C2" s="5" t="s">
        <v>89</v>
      </c>
      <c r="D2" s="5" t="s">
        <v>72</v>
      </c>
      <c r="E2" s="5" t="s">
        <v>73</v>
      </c>
      <c r="F2" s="5" t="s">
        <v>72</v>
      </c>
      <c r="G2" s="5" t="s">
        <v>73</v>
      </c>
      <c r="H2" s="5" t="s">
        <v>72</v>
      </c>
      <c r="I2" s="5" t="s">
        <v>73</v>
      </c>
    </row>
    <row r="3" spans="1:9" ht="28" x14ac:dyDescent="0.15">
      <c r="A3" s="3" t="s">
        <v>237</v>
      </c>
      <c r="D3" s="27"/>
    </row>
    <row r="5" spans="1:9" x14ac:dyDescent="0.15">
      <c r="A5" s="9"/>
      <c r="B5" s="9"/>
      <c r="C5" s="9"/>
      <c r="D5" s="9"/>
      <c r="E5" s="9"/>
      <c r="F5" s="9"/>
      <c r="G5" s="9"/>
      <c r="H5" s="9"/>
      <c r="I5" s="9"/>
    </row>
    <row r="6" spans="1:9" x14ac:dyDescent="0.15">
      <c r="A6" s="5" t="s">
        <v>95</v>
      </c>
      <c r="B6" s="8" t="s">
        <v>83</v>
      </c>
      <c r="C6" s="5"/>
    </row>
    <row r="8" spans="1:9" x14ac:dyDescent="0.15">
      <c r="A8" s="9"/>
      <c r="B8" s="9"/>
      <c r="C8" s="9"/>
      <c r="D8" s="9"/>
      <c r="E8" s="9"/>
      <c r="F8" s="9"/>
      <c r="G8" s="9"/>
      <c r="H8" s="9"/>
      <c r="I8" s="9"/>
    </row>
    <row r="9" spans="1:9" x14ac:dyDescent="0.15">
      <c r="A9" s="5" t="s">
        <v>101</v>
      </c>
    </row>
    <row r="12" spans="1:9" x14ac:dyDescent="0.15">
      <c r="A12" s="9"/>
      <c r="B12" s="9"/>
      <c r="C12" s="9"/>
      <c r="D12" s="9"/>
      <c r="E12" s="9"/>
      <c r="F12" s="9"/>
      <c r="G12" s="9"/>
      <c r="H12" s="9"/>
      <c r="I12" s="9"/>
    </row>
    <row r="13" spans="1:9" x14ac:dyDescent="0.15">
      <c r="A13" s="5" t="s">
        <v>106</v>
      </c>
    </row>
    <row r="14" spans="1:9" x14ac:dyDescent="0.15">
      <c r="A14" t="s">
        <v>238</v>
      </c>
    </row>
    <row r="15" spans="1:9" x14ac:dyDescent="0.15">
      <c r="A15" t="s">
        <v>239</v>
      </c>
    </row>
    <row r="16" spans="1:9" x14ac:dyDescent="0.15">
      <c r="A16" s="17" t="s">
        <v>240</v>
      </c>
    </row>
    <row r="17" spans="1:9" x14ac:dyDescent="0.15">
      <c r="A17" s="9"/>
      <c r="B17" s="9"/>
      <c r="C17" s="9"/>
      <c r="D17" s="9"/>
      <c r="E17" s="9"/>
      <c r="F17" s="9"/>
      <c r="G17" s="9"/>
      <c r="H17" s="9"/>
      <c r="I17" s="9"/>
    </row>
    <row r="18" spans="1:9" x14ac:dyDescent="0.15">
      <c r="A18" s="5" t="s">
        <v>108</v>
      </c>
    </row>
    <row r="19" spans="1:9" x14ac:dyDescent="0.15">
      <c r="A19" t="s">
        <v>161</v>
      </c>
    </row>
    <row r="21" spans="1:9" x14ac:dyDescent="0.15">
      <c r="A21" s="9"/>
      <c r="B21" s="9"/>
      <c r="C21" s="9"/>
      <c r="D21" s="9"/>
      <c r="E21" s="9"/>
      <c r="F21" s="9"/>
      <c r="G21" s="9"/>
      <c r="H21" s="9"/>
      <c r="I21" s="9"/>
    </row>
    <row r="22" spans="1:9" x14ac:dyDescent="0.15">
      <c r="A22" s="10" t="s">
        <v>111</v>
      </c>
    </row>
    <row r="26" spans="1:9" x14ac:dyDescent="0.15">
      <c r="A26" s="19" t="s">
        <v>234</v>
      </c>
    </row>
    <row r="27" spans="1:9" x14ac:dyDescent="0.15">
      <c r="A27" t="s">
        <v>241</v>
      </c>
    </row>
    <row r="28" spans="1:9" ht="112" x14ac:dyDescent="0.15">
      <c r="A28" s="16" t="s">
        <v>242</v>
      </c>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F7BB0C-25FD-4B70-AE9E-916B05E3FA7A}">
  <dimension ref="A1"/>
  <sheetViews>
    <sheetView workbookViewId="0">
      <selection activeCell="M26" sqref="M26"/>
    </sheetView>
  </sheetViews>
  <sheetFormatPr baseColWidth="10" defaultColWidth="8.83203125" defaultRowHeight="13" x14ac:dyDescent="0.15"/>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A42572-D1E6-4006-81D4-A742EAA07E2A}">
  <dimension ref="A1"/>
  <sheetViews>
    <sheetView workbookViewId="0">
      <selection activeCell="M26" sqref="M26"/>
    </sheetView>
  </sheetViews>
  <sheetFormatPr baseColWidth="10" defaultColWidth="8.83203125" defaultRowHeight="13" x14ac:dyDescent="0.15"/>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920F91-EC03-4639-872C-4C1B14B85D52}">
  <dimension ref="A1:N34"/>
  <sheetViews>
    <sheetView topLeftCell="B1" workbookViewId="0">
      <pane ySplit="1" topLeftCell="A2" activePane="bottomLeft" state="frozen"/>
      <selection pane="bottomLeft" activeCell="D9" sqref="D9"/>
    </sheetView>
  </sheetViews>
  <sheetFormatPr baseColWidth="10" defaultColWidth="8.83203125" defaultRowHeight="13" x14ac:dyDescent="0.15"/>
  <cols>
    <col min="1" max="1" width="16.5" customWidth="1"/>
    <col min="2" max="2" width="36" style="3" bestFit="1" customWidth="1"/>
    <col min="3" max="6" width="23.33203125" style="3" customWidth="1"/>
    <col min="7" max="7" width="14" style="3" bestFit="1" customWidth="1"/>
    <col min="8" max="13" width="23.33203125" style="3" customWidth="1"/>
    <col min="14" max="14" width="44.1640625" style="3" customWidth="1"/>
  </cols>
  <sheetData>
    <row r="1" spans="1:14" s="1" customFormat="1" ht="28" x14ac:dyDescent="0.15">
      <c r="A1" s="58" t="s">
        <v>243</v>
      </c>
      <c r="B1" s="73" t="s">
        <v>244</v>
      </c>
      <c r="C1" s="65" t="s">
        <v>245</v>
      </c>
      <c r="D1" s="65" t="s">
        <v>246</v>
      </c>
      <c r="E1" s="65" t="s">
        <v>247</v>
      </c>
      <c r="F1" s="65" t="s">
        <v>248</v>
      </c>
      <c r="G1" s="65" t="s">
        <v>249</v>
      </c>
      <c r="H1" s="65" t="s">
        <v>250</v>
      </c>
      <c r="I1" s="65" t="s">
        <v>251</v>
      </c>
      <c r="J1" s="65" t="s">
        <v>252</v>
      </c>
      <c r="K1" s="65" t="s">
        <v>253</v>
      </c>
      <c r="L1" s="65" t="s">
        <v>254</v>
      </c>
      <c r="M1" s="65" t="s">
        <v>255</v>
      </c>
      <c r="N1" s="65" t="s">
        <v>256</v>
      </c>
    </row>
    <row r="2" spans="1:14" ht="56" x14ac:dyDescent="0.15">
      <c r="A2" t="s">
        <v>257</v>
      </c>
      <c r="B2" s="68" t="s">
        <v>258</v>
      </c>
      <c r="C2" s="3" t="s">
        <v>259</v>
      </c>
      <c r="D2" s="3" t="s">
        <v>260</v>
      </c>
      <c r="E2" s="64">
        <v>1000000</v>
      </c>
      <c r="F2" s="62"/>
      <c r="G2" s="62"/>
      <c r="H2" s="62" t="s">
        <v>261</v>
      </c>
    </row>
    <row r="3" spans="1:14" ht="56" x14ac:dyDescent="0.15">
      <c r="A3" t="s">
        <v>257</v>
      </c>
      <c r="B3" s="74" t="s">
        <v>262</v>
      </c>
      <c r="C3" s="3" t="s">
        <v>263</v>
      </c>
      <c r="D3" s="3" t="s">
        <v>264</v>
      </c>
      <c r="E3" s="66">
        <f>(0.15*M3)*2.5</f>
        <v>7312.5</v>
      </c>
      <c r="F3" s="66">
        <f>(L3*4/10)*4500</f>
        <v>270000</v>
      </c>
      <c r="G3" s="66" t="s">
        <v>265</v>
      </c>
      <c r="H3" s="66">
        <f>0.649*M3*1000*10</f>
        <v>126555000</v>
      </c>
      <c r="J3" s="66">
        <f>50*L3</f>
        <v>7500</v>
      </c>
      <c r="K3" s="66">
        <f>0.15*J3</f>
        <v>1125</v>
      </c>
      <c r="L3" s="64">
        <v>150</v>
      </c>
      <c r="M3" s="64">
        <f>(1300*L3/10000)*1000</f>
        <v>19500</v>
      </c>
      <c r="N3" s="16" t="s">
        <v>266</v>
      </c>
    </row>
    <row r="4" spans="1:14" ht="14" x14ac:dyDescent="0.15">
      <c r="A4" t="s">
        <v>267</v>
      </c>
      <c r="B4" s="68" t="s">
        <v>258</v>
      </c>
    </row>
    <row r="5" spans="1:14" ht="56" x14ac:dyDescent="0.15">
      <c r="A5" t="s">
        <v>267</v>
      </c>
      <c r="B5" s="74" t="s">
        <v>268</v>
      </c>
      <c r="C5" s="3" t="s">
        <v>269</v>
      </c>
      <c r="D5" s="3" t="s">
        <v>270</v>
      </c>
      <c r="E5" s="66">
        <f>(0.15*M5)*2.5</f>
        <v>60937.5</v>
      </c>
      <c r="F5" s="66">
        <f>(L5*4/10)*4500</f>
        <v>2250000</v>
      </c>
      <c r="G5" s="66" t="s">
        <v>265</v>
      </c>
      <c r="H5" s="66">
        <f>0.649*M5*1000*10</f>
        <v>1054625000</v>
      </c>
      <c r="J5" s="66">
        <f>50*L5</f>
        <v>62500</v>
      </c>
      <c r="K5" s="66"/>
      <c r="L5" s="64">
        <f>50*25</f>
        <v>1250</v>
      </c>
      <c r="M5" s="64">
        <f>(1300*L5/10000)*1000</f>
        <v>162500</v>
      </c>
      <c r="N5" s="16" t="s">
        <v>266</v>
      </c>
    </row>
    <row r="6" spans="1:14" ht="28" x14ac:dyDescent="0.15">
      <c r="A6" t="s">
        <v>267</v>
      </c>
      <c r="B6" s="68" t="s">
        <v>271</v>
      </c>
      <c r="C6" s="3" t="s">
        <v>272</v>
      </c>
      <c r="D6" s="3" t="s">
        <v>273</v>
      </c>
      <c r="E6" s="71">
        <f>0.09*K3</f>
        <v>101.25</v>
      </c>
      <c r="F6" s="66">
        <f>L3*257</f>
        <v>38550</v>
      </c>
      <c r="H6" s="66">
        <f>0.09*J6</f>
        <v>675</v>
      </c>
      <c r="J6" s="71">
        <f>J3</f>
        <v>7500</v>
      </c>
    </row>
    <row r="7" spans="1:14" ht="42" x14ac:dyDescent="0.15">
      <c r="A7" t="s">
        <v>267</v>
      </c>
      <c r="B7" s="68" t="s">
        <v>274</v>
      </c>
      <c r="C7" s="3" t="s">
        <v>275</v>
      </c>
      <c r="D7" s="3" t="s">
        <v>276</v>
      </c>
      <c r="E7" s="72">
        <f>219956/2</f>
        <v>109978</v>
      </c>
      <c r="F7" s="3">
        <f>100*50</f>
        <v>5000</v>
      </c>
      <c r="H7" s="3" t="s">
        <v>277</v>
      </c>
      <c r="I7" s="3" t="s">
        <v>278</v>
      </c>
      <c r="N7" s="76" t="s">
        <v>279</v>
      </c>
    </row>
    <row r="8" spans="1:14" ht="42" x14ac:dyDescent="0.15">
      <c r="A8" t="s">
        <v>280</v>
      </c>
      <c r="B8" s="59" t="s">
        <v>281</v>
      </c>
    </row>
    <row r="9" spans="1:14" ht="28" x14ac:dyDescent="0.15">
      <c r="A9" t="s">
        <v>280</v>
      </c>
      <c r="B9" s="59" t="s">
        <v>282</v>
      </c>
    </row>
    <row r="10" spans="1:14" ht="14" x14ac:dyDescent="0.15">
      <c r="A10" t="s">
        <v>280</v>
      </c>
      <c r="B10" s="3" t="s">
        <v>283</v>
      </c>
    </row>
    <row r="11" spans="1:14" ht="42" x14ac:dyDescent="0.15">
      <c r="A11" t="s">
        <v>280</v>
      </c>
      <c r="B11" s="3" t="s">
        <v>284</v>
      </c>
    </row>
    <row r="12" spans="1:14" ht="28" x14ac:dyDescent="0.15">
      <c r="A12" t="s">
        <v>280</v>
      </c>
      <c r="B12" s="3" t="s">
        <v>285</v>
      </c>
    </row>
    <row r="13" spans="1:14" ht="28" x14ac:dyDescent="0.15">
      <c r="A13" t="s">
        <v>286</v>
      </c>
      <c r="B13" s="75" t="s">
        <v>287</v>
      </c>
    </row>
    <row r="14" spans="1:14" ht="28" x14ac:dyDescent="0.15">
      <c r="A14" t="s">
        <v>286</v>
      </c>
      <c r="B14" s="75" t="s">
        <v>288</v>
      </c>
    </row>
    <row r="15" spans="1:14" ht="14" x14ac:dyDescent="0.15">
      <c r="A15" t="s">
        <v>289</v>
      </c>
      <c r="B15" s="75" t="s">
        <v>290</v>
      </c>
      <c r="F15" s="63"/>
      <c r="G15" s="63"/>
    </row>
    <row r="16" spans="1:14" ht="14" x14ac:dyDescent="0.15">
      <c r="A16" t="s">
        <v>289</v>
      </c>
      <c r="B16" s="75" t="s">
        <v>291</v>
      </c>
      <c r="F16"/>
      <c r="G16"/>
    </row>
    <row r="17" spans="1:2" ht="14" x14ac:dyDescent="0.15">
      <c r="A17" t="s">
        <v>289</v>
      </c>
      <c r="B17" s="68" t="s">
        <v>292</v>
      </c>
    </row>
    <row r="18" spans="1:2" ht="28" x14ac:dyDescent="0.15">
      <c r="A18" t="s">
        <v>289</v>
      </c>
      <c r="B18" s="3" t="s">
        <v>293</v>
      </c>
    </row>
    <row r="19" spans="1:2" ht="56" x14ac:dyDescent="0.15">
      <c r="A19" t="s">
        <v>294</v>
      </c>
      <c r="B19" s="59" t="s">
        <v>295</v>
      </c>
    </row>
    <row r="20" spans="1:2" ht="42" x14ac:dyDescent="0.15">
      <c r="A20" t="s">
        <v>294</v>
      </c>
      <c r="B20" s="3" t="s">
        <v>296</v>
      </c>
    </row>
    <row r="21" spans="1:2" ht="28" x14ac:dyDescent="0.15">
      <c r="A21" t="s">
        <v>294</v>
      </c>
      <c r="B21" s="3" t="s">
        <v>297</v>
      </c>
    </row>
    <row r="22" spans="1:2" ht="28" x14ac:dyDescent="0.15">
      <c r="A22" t="s">
        <v>294</v>
      </c>
      <c r="B22" s="3" t="s">
        <v>298</v>
      </c>
    </row>
    <row r="23" spans="1:2" ht="28" x14ac:dyDescent="0.15">
      <c r="A23" t="s">
        <v>294</v>
      </c>
      <c r="B23" s="3" t="s">
        <v>285</v>
      </c>
    </row>
    <row r="24" spans="1:2" x14ac:dyDescent="0.15">
      <c r="A24" t="s">
        <v>299</v>
      </c>
    </row>
    <row r="25" spans="1:2" ht="14" x14ac:dyDescent="0.15">
      <c r="A25" t="s">
        <v>300</v>
      </c>
      <c r="B25" s="3" t="s">
        <v>301</v>
      </c>
    </row>
    <row r="26" spans="1:2" ht="14" x14ac:dyDescent="0.15">
      <c r="A26" t="s">
        <v>302</v>
      </c>
      <c r="B26" s="3" t="s">
        <v>303</v>
      </c>
    </row>
    <row r="27" spans="1:2" ht="28" x14ac:dyDescent="0.15">
      <c r="A27" t="s">
        <v>302</v>
      </c>
      <c r="B27" s="3" t="s">
        <v>304</v>
      </c>
    </row>
    <row r="28" spans="1:2" ht="56" x14ac:dyDescent="0.15">
      <c r="A28" t="s">
        <v>305</v>
      </c>
      <c r="B28" s="59" t="s">
        <v>306</v>
      </c>
    </row>
    <row r="29" spans="1:2" ht="56" x14ac:dyDescent="0.15">
      <c r="A29" t="s">
        <v>307</v>
      </c>
      <c r="B29" s="59" t="s">
        <v>306</v>
      </c>
    </row>
    <row r="30" spans="1:2" ht="56" x14ac:dyDescent="0.15">
      <c r="A30" t="s">
        <v>308</v>
      </c>
      <c r="B30" s="59" t="s">
        <v>309</v>
      </c>
    </row>
    <row r="31" spans="1:2" ht="14" x14ac:dyDescent="0.15">
      <c r="A31" t="s">
        <v>308</v>
      </c>
      <c r="B31" s="3" t="s">
        <v>310</v>
      </c>
    </row>
    <row r="32" spans="1:2" ht="42" x14ac:dyDescent="0.15">
      <c r="A32" t="s">
        <v>311</v>
      </c>
      <c r="B32" s="59" t="s">
        <v>312</v>
      </c>
    </row>
    <row r="33" spans="1:2" ht="28" x14ac:dyDescent="0.15">
      <c r="A33" t="s">
        <v>313</v>
      </c>
      <c r="B33" s="59" t="s">
        <v>314</v>
      </c>
    </row>
    <row r="34" spans="1:2" ht="56" x14ac:dyDescent="0.15">
      <c r="A34" t="s">
        <v>315</v>
      </c>
      <c r="B34" s="59" t="s">
        <v>316</v>
      </c>
    </row>
  </sheetData>
  <pageMargins left="0.7" right="0.7" top="0.75" bottom="0.75" header="0.3" footer="0.3"/>
  <pageSetup paperSize="9" orientation="portrait" r:id="rId1"/>
  <legacy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BD5124-3982-42EF-9209-D783EE322162}">
  <dimension ref="A1:F23"/>
  <sheetViews>
    <sheetView workbookViewId="0">
      <selection activeCell="B9" sqref="B9"/>
    </sheetView>
  </sheetViews>
  <sheetFormatPr baseColWidth="10" defaultColWidth="8.83203125" defaultRowHeight="13" x14ac:dyDescent="0.15"/>
  <cols>
    <col min="2" max="2" width="100.83203125" customWidth="1"/>
    <col min="3" max="3" width="23.33203125" customWidth="1"/>
  </cols>
  <sheetData>
    <row r="1" spans="1:6" ht="14" x14ac:dyDescent="0.15">
      <c r="A1" t="s">
        <v>317</v>
      </c>
      <c r="B1" s="63" t="s">
        <v>318</v>
      </c>
      <c r="C1" s="63" t="s">
        <v>319</v>
      </c>
      <c r="D1" s="1" t="s">
        <v>320</v>
      </c>
    </row>
    <row r="2" spans="1:6" x14ac:dyDescent="0.15">
      <c r="A2">
        <v>1</v>
      </c>
      <c r="B2" t="s">
        <v>321</v>
      </c>
      <c r="C2" t="s">
        <v>95</v>
      </c>
      <c r="D2" t="s">
        <v>322</v>
      </c>
    </row>
    <row r="3" spans="1:6" x14ac:dyDescent="0.15">
      <c r="A3">
        <v>2</v>
      </c>
      <c r="B3" t="s">
        <v>323</v>
      </c>
      <c r="C3" t="s">
        <v>324</v>
      </c>
      <c r="D3" t="s">
        <v>325</v>
      </c>
    </row>
    <row r="4" spans="1:6" x14ac:dyDescent="0.15">
      <c r="A4">
        <v>3</v>
      </c>
      <c r="B4" t="s">
        <v>326</v>
      </c>
      <c r="C4" t="s">
        <v>327</v>
      </c>
      <c r="D4" t="s">
        <v>328</v>
      </c>
    </row>
    <row r="5" spans="1:6" x14ac:dyDescent="0.15">
      <c r="A5">
        <v>4</v>
      </c>
      <c r="B5" t="s">
        <v>329</v>
      </c>
      <c r="C5" t="s">
        <v>330</v>
      </c>
      <c r="D5" t="s">
        <v>331</v>
      </c>
    </row>
    <row r="6" spans="1:6" ht="28" x14ac:dyDescent="0.15">
      <c r="A6">
        <v>5</v>
      </c>
      <c r="B6" s="67" t="s">
        <v>332</v>
      </c>
      <c r="C6" s="67" t="s">
        <v>333</v>
      </c>
      <c r="D6" t="s">
        <v>334</v>
      </c>
    </row>
    <row r="7" spans="1:6" x14ac:dyDescent="0.15">
      <c r="A7">
        <v>6</v>
      </c>
      <c r="B7" t="s">
        <v>335</v>
      </c>
      <c r="C7" t="s">
        <v>336</v>
      </c>
      <c r="D7" t="s">
        <v>337</v>
      </c>
    </row>
    <row r="8" spans="1:6" ht="28" x14ac:dyDescent="0.15">
      <c r="A8">
        <v>7</v>
      </c>
      <c r="B8" s="67" t="s">
        <v>162</v>
      </c>
      <c r="C8" t="s">
        <v>338</v>
      </c>
      <c r="D8" t="s">
        <v>339</v>
      </c>
    </row>
    <row r="9" spans="1:6" ht="98" x14ac:dyDescent="0.15">
      <c r="A9">
        <v>8</v>
      </c>
      <c r="B9" s="3" t="s">
        <v>340</v>
      </c>
      <c r="C9" t="s">
        <v>341</v>
      </c>
      <c r="D9" t="s">
        <v>342</v>
      </c>
    </row>
    <row r="10" spans="1:6" ht="56" x14ac:dyDescent="0.15">
      <c r="A10">
        <v>9</v>
      </c>
      <c r="B10" s="69" t="s">
        <v>343</v>
      </c>
      <c r="C10" t="s">
        <v>344</v>
      </c>
      <c r="D10" t="s">
        <v>345</v>
      </c>
    </row>
    <row r="11" spans="1:6" ht="42" x14ac:dyDescent="0.15">
      <c r="A11">
        <v>10</v>
      </c>
      <c r="B11" s="3" t="s">
        <v>346</v>
      </c>
      <c r="C11" t="s">
        <v>347</v>
      </c>
      <c r="D11" t="s">
        <v>348</v>
      </c>
    </row>
    <row r="12" spans="1:6" ht="42" x14ac:dyDescent="0.15">
      <c r="A12">
        <v>11</v>
      </c>
      <c r="B12" s="3" t="s">
        <v>349</v>
      </c>
      <c r="C12" t="s">
        <v>347</v>
      </c>
      <c r="D12" t="s">
        <v>350</v>
      </c>
    </row>
    <row r="13" spans="1:6" ht="14" x14ac:dyDescent="0.15">
      <c r="A13">
        <v>12</v>
      </c>
      <c r="B13" s="3" t="s">
        <v>351</v>
      </c>
      <c r="C13" t="s">
        <v>347</v>
      </c>
      <c r="D13" t="s">
        <v>342</v>
      </c>
      <c r="E13" s="70">
        <f>518247/1014258</f>
        <v>0.51096170796779516</v>
      </c>
      <c r="F13" s="70">
        <f>927609/1014258</f>
        <v>0.91456907414089905</v>
      </c>
    </row>
    <row r="14" spans="1:6" ht="28" x14ac:dyDescent="0.15">
      <c r="A14">
        <v>13</v>
      </c>
      <c r="B14" s="3" t="s">
        <v>352</v>
      </c>
      <c r="C14" t="s">
        <v>353</v>
      </c>
      <c r="D14" t="s">
        <v>354</v>
      </c>
    </row>
    <row r="16" spans="1:6" x14ac:dyDescent="0.15">
      <c r="B16" s="1"/>
    </row>
    <row r="18" spans="1:1" x14ac:dyDescent="0.15">
      <c r="A18" s="61" t="s">
        <v>355</v>
      </c>
    </row>
    <row r="19" spans="1:1" x14ac:dyDescent="0.15">
      <c r="A19" s="17" t="s">
        <v>356</v>
      </c>
    </row>
    <row r="20" spans="1:1" x14ac:dyDescent="0.15">
      <c r="A20" s="17" t="s">
        <v>357</v>
      </c>
    </row>
    <row r="21" spans="1:1" x14ac:dyDescent="0.15">
      <c r="A21" s="17" t="s">
        <v>358</v>
      </c>
    </row>
    <row r="22" spans="1:1" x14ac:dyDescent="0.15">
      <c r="A22" s="17" t="s">
        <v>359</v>
      </c>
    </row>
    <row r="23" spans="1:1" x14ac:dyDescent="0.15">
      <c r="A23" s="17" t="s">
        <v>360</v>
      </c>
    </row>
  </sheetData>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2C1D15-1D72-4F5D-A052-5AFB932D0DA7}">
  <dimension ref="A1:J13"/>
  <sheetViews>
    <sheetView showGridLines="0" workbookViewId="0">
      <selection activeCell="D32" sqref="D32"/>
    </sheetView>
  </sheetViews>
  <sheetFormatPr baseColWidth="10" defaultColWidth="8.83203125" defaultRowHeight="13" x14ac:dyDescent="0.15"/>
  <cols>
    <col min="1" max="1" width="31.1640625" customWidth="1"/>
    <col min="2" max="2" width="6.6640625" bestFit="1" customWidth="1"/>
    <col min="3" max="3" width="7.6640625" bestFit="1" customWidth="1"/>
    <col min="4" max="4" width="7.83203125" customWidth="1"/>
    <col min="5" max="10" width="16.33203125" customWidth="1"/>
  </cols>
  <sheetData>
    <row r="1" spans="1:10" ht="50.5" customHeight="1" x14ac:dyDescent="0.2">
      <c r="A1" s="42" t="s">
        <v>63</v>
      </c>
    </row>
    <row r="2" spans="1:10" s="31" customFormat="1" ht="15" thickBot="1" x14ac:dyDescent="0.2">
      <c r="A2" s="49" t="s">
        <v>64</v>
      </c>
      <c r="B2" s="50">
        <v>2021</v>
      </c>
      <c r="C2"/>
      <c r="H2"/>
      <c r="I2"/>
      <c r="J2"/>
    </row>
    <row r="3" spans="1:10" x14ac:dyDescent="0.15">
      <c r="A3" t="s">
        <v>65</v>
      </c>
      <c r="B3" s="27">
        <v>0</v>
      </c>
    </row>
    <row r="4" spans="1:10" x14ac:dyDescent="0.15">
      <c r="A4" s="9"/>
      <c r="B4" s="33"/>
    </row>
    <row r="5" spans="1:10" x14ac:dyDescent="0.15">
      <c r="A5" t="s">
        <v>4</v>
      </c>
      <c r="B5" s="27">
        <v>0</v>
      </c>
    </row>
    <row r="6" spans="1:10" x14ac:dyDescent="0.15">
      <c r="A6" s="9"/>
      <c r="B6" s="33"/>
    </row>
    <row r="7" spans="1:10" s="18" customFormat="1" x14ac:dyDescent="0.15">
      <c r="A7" s="18" t="s">
        <v>66</v>
      </c>
      <c r="B7" s="35">
        <v>0</v>
      </c>
      <c r="C7"/>
      <c r="H7"/>
      <c r="I7"/>
      <c r="J7"/>
    </row>
    <row r="8" spans="1:10" x14ac:dyDescent="0.15">
      <c r="A8" s="38"/>
      <c r="B8" s="33"/>
    </row>
    <row r="9" spans="1:10" x14ac:dyDescent="0.15">
      <c r="A9" t="s">
        <v>67</v>
      </c>
      <c r="B9" s="35">
        <f>[1]Sligro!B6</f>
        <v>2000</v>
      </c>
    </row>
    <row r="10" spans="1:10" x14ac:dyDescent="0.15">
      <c r="A10" s="29"/>
      <c r="B10" s="39"/>
    </row>
    <row r="11" spans="1:10" s="1" customFormat="1" x14ac:dyDescent="0.15">
      <c r="A11" t="s">
        <v>68</v>
      </c>
      <c r="B11" s="48">
        <f>'[2]Konings drinks'!B6</f>
        <v>1285</v>
      </c>
      <c r="C11"/>
      <c r="H11"/>
      <c r="I11"/>
      <c r="J11"/>
    </row>
    <row r="12" spans="1:10" s="1" customFormat="1" x14ac:dyDescent="0.15">
      <c r="A12" s="29"/>
      <c r="B12" s="32"/>
      <c r="C12"/>
      <c r="H12"/>
      <c r="I12"/>
      <c r="J12"/>
    </row>
    <row r="13" spans="1:10" s="1" customFormat="1" x14ac:dyDescent="0.15">
      <c r="B13" s="41"/>
      <c r="C13"/>
      <c r="D13"/>
      <c r="E13"/>
      <c r="F13"/>
      <c r="G13"/>
      <c r="H13"/>
      <c r="I13"/>
      <c r="J13"/>
    </row>
  </sheetData>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3998D8-464A-410F-B41A-CC8EAF8CBFDC}">
  <dimension ref="A1:L39"/>
  <sheetViews>
    <sheetView showGridLines="0" topLeftCell="A7" workbookViewId="0">
      <selection activeCell="H25" sqref="H25"/>
    </sheetView>
  </sheetViews>
  <sheetFormatPr baseColWidth="10" defaultColWidth="8.83203125" defaultRowHeight="13" x14ac:dyDescent="0.15"/>
  <cols>
    <col min="1" max="1" width="18.1640625" customWidth="1"/>
    <col min="2" max="2" width="11.33203125" customWidth="1"/>
    <col min="3" max="3" width="18.6640625" customWidth="1"/>
    <col min="4" max="4" width="6.6640625" bestFit="1" customWidth="1"/>
    <col min="5" max="5" width="7.6640625" bestFit="1" customWidth="1"/>
    <col min="6" max="6" width="7.83203125" customWidth="1"/>
    <col min="7" max="12" width="16.33203125" customWidth="1"/>
  </cols>
  <sheetData>
    <row r="1" spans="1:12" s="1" customFormat="1" x14ac:dyDescent="0.15">
      <c r="B1"/>
      <c r="C1"/>
      <c r="D1" s="41"/>
      <c r="E1"/>
      <c r="F1"/>
      <c r="G1"/>
      <c r="H1"/>
      <c r="I1"/>
      <c r="J1"/>
      <c r="K1"/>
      <c r="L1"/>
    </row>
    <row r="2" spans="1:12" ht="50.5" customHeight="1" x14ac:dyDescent="0.2">
      <c r="A2" s="104" t="s">
        <v>69</v>
      </c>
      <c r="B2" s="104"/>
      <c r="C2" s="104"/>
      <c r="D2" s="5">
        <v>2023</v>
      </c>
      <c r="E2" s="5">
        <v>2025</v>
      </c>
      <c r="F2" s="5">
        <v>2030</v>
      </c>
      <c r="G2" s="5">
        <v>2023</v>
      </c>
      <c r="H2" s="5">
        <v>2023</v>
      </c>
      <c r="I2" s="5">
        <v>2025</v>
      </c>
      <c r="J2" s="5">
        <v>2025</v>
      </c>
      <c r="K2" s="5">
        <v>2030</v>
      </c>
      <c r="L2" s="5">
        <v>2030</v>
      </c>
    </row>
    <row r="3" spans="1:12" s="31" customFormat="1" ht="28" x14ac:dyDescent="0.15">
      <c r="A3" s="30" t="s">
        <v>64</v>
      </c>
      <c r="B3" s="30" t="s">
        <v>70</v>
      </c>
      <c r="C3" s="30" t="s">
        <v>71</v>
      </c>
      <c r="D3" s="30"/>
      <c r="E3" s="30"/>
      <c r="F3" s="30"/>
      <c r="G3" s="30" t="s">
        <v>72</v>
      </c>
      <c r="H3" s="30" t="s">
        <v>73</v>
      </c>
      <c r="I3" s="30" t="s">
        <v>72</v>
      </c>
      <c r="J3" s="30" t="s">
        <v>73</v>
      </c>
      <c r="K3" s="30" t="s">
        <v>72</v>
      </c>
      <c r="L3" s="30" t="s">
        <v>73</v>
      </c>
    </row>
    <row r="4" spans="1:12" ht="16" x14ac:dyDescent="0.3">
      <c r="A4" t="s">
        <v>65</v>
      </c>
      <c r="B4" t="s">
        <v>74</v>
      </c>
      <c r="C4" t="s">
        <v>75</v>
      </c>
      <c r="D4" s="27">
        <f>Busremise!D3</f>
        <v>5150</v>
      </c>
      <c r="E4" s="27">
        <f>Busremise!E4</f>
        <v>6000</v>
      </c>
      <c r="F4" s="27">
        <f>Busremise!F6</f>
        <v>9024</v>
      </c>
      <c r="G4" s="27">
        <f>Busremise!G3</f>
        <v>1350</v>
      </c>
      <c r="H4" s="45">
        <f>Busremise!H3</f>
        <v>5150</v>
      </c>
      <c r="I4" s="27">
        <f>Busremise!I4</f>
        <v>2700</v>
      </c>
      <c r="J4" s="45">
        <f>Busremise!J4</f>
        <v>6000</v>
      </c>
      <c r="K4" s="27">
        <f>Busremise!K6</f>
        <v>4050</v>
      </c>
      <c r="L4" s="45">
        <f>Busremise!L6</f>
        <v>9024</v>
      </c>
    </row>
    <row r="5" spans="1:12" x14ac:dyDescent="0.15">
      <c r="A5" s="9"/>
      <c r="B5" s="9"/>
      <c r="C5" s="9"/>
      <c r="D5" s="33"/>
      <c r="E5" s="33"/>
      <c r="F5" s="33"/>
      <c r="G5" s="33"/>
      <c r="H5" s="33"/>
      <c r="I5" s="33"/>
      <c r="J5" s="33"/>
      <c r="K5" s="33"/>
      <c r="L5" s="33"/>
    </row>
    <row r="6" spans="1:12" ht="16" x14ac:dyDescent="0.3">
      <c r="A6" t="s">
        <v>4</v>
      </c>
      <c r="B6" t="s">
        <v>74</v>
      </c>
      <c r="C6" t="s">
        <v>75</v>
      </c>
      <c r="D6" s="27">
        <f>'Gemeente wagenpark'!E3</f>
        <v>250</v>
      </c>
      <c r="E6" s="27">
        <f>'Gemeente wagenpark'!G11</f>
        <v>1589</v>
      </c>
      <c r="F6" s="27">
        <f>'Gemeente wagenpark'!I11</f>
        <v>3137</v>
      </c>
      <c r="G6" s="27"/>
      <c r="H6" s="45">
        <f>D6</f>
        <v>250</v>
      </c>
      <c r="I6" s="27">
        <f>'Gemeente wagenpark'!F11</f>
        <v>750</v>
      </c>
      <c r="J6" s="45">
        <f>'Gemeente wagenpark'!G11</f>
        <v>1589</v>
      </c>
      <c r="K6" s="27">
        <f>'Gemeente wagenpark'!H11</f>
        <v>900</v>
      </c>
      <c r="L6" s="45">
        <f>'Gemeente wagenpark'!I11</f>
        <v>3137</v>
      </c>
    </row>
    <row r="7" spans="1:12" x14ac:dyDescent="0.15">
      <c r="A7" s="9"/>
      <c r="B7" s="9"/>
      <c r="C7" s="9"/>
      <c r="D7" s="33"/>
      <c r="E7" s="33"/>
      <c r="F7" s="33"/>
      <c r="G7" s="33"/>
      <c r="H7" s="33"/>
      <c r="I7" s="33"/>
      <c r="J7" s="33"/>
      <c r="K7" s="33"/>
      <c r="L7" s="33"/>
    </row>
    <row r="8" spans="1:12" s="18" customFormat="1" x14ac:dyDescent="0.15">
      <c r="A8" s="18" t="s">
        <v>66</v>
      </c>
      <c r="B8" s="18" t="s">
        <v>76</v>
      </c>
      <c r="D8" s="35">
        <f>'Eerste conclusie'!D6</f>
        <v>100</v>
      </c>
      <c r="E8" s="35">
        <f>D8</f>
        <v>100</v>
      </c>
      <c r="F8" s="35">
        <f>D8</f>
        <v>100</v>
      </c>
      <c r="G8" s="35">
        <f>D8</f>
        <v>100</v>
      </c>
      <c r="H8" s="35"/>
      <c r="I8" s="35">
        <f>E8</f>
        <v>100</v>
      </c>
      <c r="J8" s="35"/>
      <c r="K8" s="35">
        <f>F8</f>
        <v>100</v>
      </c>
      <c r="L8" s="35"/>
    </row>
    <row r="9" spans="1:12" s="1" customFormat="1" x14ac:dyDescent="0.15">
      <c r="A9" s="29"/>
      <c r="B9" s="9"/>
      <c r="C9" s="9"/>
      <c r="D9" s="39"/>
      <c r="E9" s="39"/>
      <c r="F9" s="39"/>
      <c r="G9" s="39"/>
      <c r="H9" s="39"/>
      <c r="I9" s="39"/>
      <c r="J9" s="39"/>
      <c r="K9" s="39"/>
      <c r="L9" s="39"/>
    </row>
    <row r="10" spans="1:12" s="1" customFormat="1" x14ac:dyDescent="0.15">
      <c r="A10" s="29" t="s">
        <v>77</v>
      </c>
      <c r="B10" s="9"/>
      <c r="C10" s="9"/>
      <c r="D10" s="32">
        <f>D8+D4+D6</f>
        <v>5500</v>
      </c>
      <c r="E10" s="32">
        <f t="shared" ref="E10:L10" si="0">E8+E4+E6</f>
        <v>7689</v>
      </c>
      <c r="F10" s="32">
        <f t="shared" si="0"/>
        <v>12261</v>
      </c>
      <c r="G10" s="32">
        <f t="shared" si="0"/>
        <v>1450</v>
      </c>
      <c r="H10" s="32">
        <f t="shared" si="0"/>
        <v>5400</v>
      </c>
      <c r="I10" s="32">
        <f t="shared" si="0"/>
        <v>3550</v>
      </c>
      <c r="J10" s="32">
        <f t="shared" si="0"/>
        <v>7589</v>
      </c>
      <c r="K10" s="32">
        <f t="shared" si="0"/>
        <v>5050</v>
      </c>
      <c r="L10" s="32">
        <f t="shared" si="0"/>
        <v>12161</v>
      </c>
    </row>
    <row r="12" spans="1:12" ht="50.5" customHeight="1" x14ac:dyDescent="0.2">
      <c r="A12" s="104" t="s">
        <v>78</v>
      </c>
      <c r="B12" s="104"/>
      <c r="C12" s="104"/>
      <c r="D12" s="5">
        <v>2023</v>
      </c>
      <c r="E12" s="5">
        <v>2025</v>
      </c>
      <c r="F12" s="5">
        <v>2030</v>
      </c>
      <c r="G12" s="5">
        <v>2023</v>
      </c>
      <c r="H12" s="5">
        <v>2023</v>
      </c>
      <c r="I12" s="5">
        <v>2025</v>
      </c>
      <c r="J12" s="5">
        <v>2025</v>
      </c>
      <c r="K12" s="5">
        <v>2030</v>
      </c>
      <c r="L12" s="5">
        <v>2030</v>
      </c>
    </row>
    <row r="13" spans="1:12" s="31" customFormat="1" ht="28" x14ac:dyDescent="0.15">
      <c r="A13" s="30" t="s">
        <v>64</v>
      </c>
      <c r="B13" s="30" t="s">
        <v>70</v>
      </c>
      <c r="C13" s="30" t="s">
        <v>71</v>
      </c>
      <c r="D13" s="30"/>
      <c r="E13" s="30"/>
      <c r="F13" s="30"/>
      <c r="G13" s="30" t="s">
        <v>72</v>
      </c>
      <c r="H13" s="30" t="s">
        <v>73</v>
      </c>
      <c r="I13" s="30" t="s">
        <v>72</v>
      </c>
      <c r="J13" s="30" t="s">
        <v>73</v>
      </c>
      <c r="K13" s="30" t="s">
        <v>72</v>
      </c>
      <c r="L13" s="30" t="s">
        <v>73</v>
      </c>
    </row>
    <row r="14" spans="1:12" ht="16" x14ac:dyDescent="0.3">
      <c r="A14" t="s">
        <v>65</v>
      </c>
      <c r="B14" t="s">
        <v>74</v>
      </c>
      <c r="C14" t="s">
        <v>75</v>
      </c>
      <c r="D14" s="27">
        <f t="shared" ref="D14:L14" si="1">D4</f>
        <v>5150</v>
      </c>
      <c r="E14" s="27">
        <f t="shared" si="1"/>
        <v>6000</v>
      </c>
      <c r="F14" s="27">
        <f t="shared" si="1"/>
        <v>9024</v>
      </c>
      <c r="G14" s="27">
        <f t="shared" si="1"/>
        <v>1350</v>
      </c>
      <c r="H14" s="45">
        <f t="shared" si="1"/>
        <v>5150</v>
      </c>
      <c r="I14" s="27">
        <f t="shared" si="1"/>
        <v>2700</v>
      </c>
      <c r="J14" s="45">
        <f t="shared" si="1"/>
        <v>6000</v>
      </c>
      <c r="K14" s="27">
        <f t="shared" si="1"/>
        <v>4050</v>
      </c>
      <c r="L14" s="45">
        <f t="shared" si="1"/>
        <v>9024</v>
      </c>
    </row>
    <row r="15" spans="1:12" x14ac:dyDescent="0.15">
      <c r="A15" s="9"/>
      <c r="B15" s="9"/>
      <c r="C15" s="9"/>
      <c r="D15" s="33">
        <f t="shared" ref="D15:L15" si="2">D5</f>
        <v>0</v>
      </c>
      <c r="E15" s="33">
        <f t="shared" si="2"/>
        <v>0</v>
      </c>
      <c r="F15" s="33">
        <f t="shared" si="2"/>
        <v>0</v>
      </c>
      <c r="G15" s="33">
        <f t="shared" si="2"/>
        <v>0</v>
      </c>
      <c r="H15" s="33">
        <f t="shared" si="2"/>
        <v>0</v>
      </c>
      <c r="I15" s="33">
        <f t="shared" si="2"/>
        <v>0</v>
      </c>
      <c r="J15" s="33">
        <f t="shared" si="2"/>
        <v>0</v>
      </c>
      <c r="K15" s="33">
        <f t="shared" si="2"/>
        <v>0</v>
      </c>
      <c r="L15" s="33">
        <f t="shared" si="2"/>
        <v>0</v>
      </c>
    </row>
    <row r="16" spans="1:12" ht="16" x14ac:dyDescent="0.3">
      <c r="A16" t="s">
        <v>4</v>
      </c>
      <c r="B16" t="s">
        <v>74</v>
      </c>
      <c r="C16" t="s">
        <v>75</v>
      </c>
      <c r="D16" s="27">
        <f t="shared" ref="D16:L16" si="3">D6</f>
        <v>250</v>
      </c>
      <c r="E16" s="27">
        <f t="shared" si="3"/>
        <v>1589</v>
      </c>
      <c r="F16" s="27">
        <f t="shared" si="3"/>
        <v>3137</v>
      </c>
      <c r="G16" s="27">
        <f t="shared" si="3"/>
        <v>0</v>
      </c>
      <c r="H16" s="45">
        <f t="shared" si="3"/>
        <v>250</v>
      </c>
      <c r="I16" s="27">
        <f t="shared" si="3"/>
        <v>750</v>
      </c>
      <c r="J16" s="45">
        <f t="shared" si="3"/>
        <v>1589</v>
      </c>
      <c r="K16" s="27">
        <f t="shared" si="3"/>
        <v>900</v>
      </c>
      <c r="L16" s="45">
        <f t="shared" si="3"/>
        <v>3137</v>
      </c>
    </row>
    <row r="17" spans="1:12" x14ac:dyDescent="0.15">
      <c r="A17" s="9"/>
      <c r="B17" s="9"/>
      <c r="C17" s="9"/>
      <c r="D17" s="33">
        <f t="shared" ref="D17:L17" si="4">D7</f>
        <v>0</v>
      </c>
      <c r="E17" s="33">
        <f t="shared" si="4"/>
        <v>0</v>
      </c>
      <c r="F17" s="33">
        <f t="shared" si="4"/>
        <v>0</v>
      </c>
      <c r="G17" s="33">
        <f t="shared" si="4"/>
        <v>0</v>
      </c>
      <c r="H17" s="33">
        <f t="shared" si="4"/>
        <v>0</v>
      </c>
      <c r="I17" s="33">
        <f t="shared" si="4"/>
        <v>0</v>
      </c>
      <c r="J17" s="33">
        <f t="shared" si="4"/>
        <v>0</v>
      </c>
      <c r="K17" s="33">
        <f t="shared" si="4"/>
        <v>0</v>
      </c>
      <c r="L17" s="33">
        <f t="shared" si="4"/>
        <v>0</v>
      </c>
    </row>
    <row r="18" spans="1:12" s="18" customFormat="1" x14ac:dyDescent="0.15">
      <c r="A18" s="18" t="s">
        <v>66</v>
      </c>
      <c r="B18" s="18" t="s">
        <v>76</v>
      </c>
      <c r="D18" s="96">
        <f t="shared" ref="D18:L18" si="5">D8</f>
        <v>100</v>
      </c>
      <c r="E18" s="96">
        <f t="shared" si="5"/>
        <v>100</v>
      </c>
      <c r="F18" s="96">
        <f t="shared" si="5"/>
        <v>100</v>
      </c>
      <c r="G18" s="35">
        <f t="shared" si="5"/>
        <v>100</v>
      </c>
      <c r="H18" s="35">
        <f t="shared" si="5"/>
        <v>0</v>
      </c>
      <c r="I18" s="35">
        <f t="shared" si="5"/>
        <v>100</v>
      </c>
      <c r="J18" s="35">
        <f t="shared" si="5"/>
        <v>0</v>
      </c>
      <c r="K18" s="35">
        <f t="shared" si="5"/>
        <v>100</v>
      </c>
      <c r="L18" s="35">
        <f t="shared" si="5"/>
        <v>0</v>
      </c>
    </row>
    <row r="19" spans="1:12" x14ac:dyDescent="0.15">
      <c r="A19" s="38"/>
      <c r="B19" s="9"/>
      <c r="C19" s="9"/>
      <c r="D19" s="33"/>
      <c r="E19" s="33"/>
      <c r="F19" s="33"/>
      <c r="G19" s="33"/>
      <c r="H19" s="33"/>
      <c r="I19" s="33"/>
      <c r="J19" s="33"/>
      <c r="K19" s="33"/>
      <c r="L19" s="33"/>
    </row>
    <row r="20" spans="1:12" x14ac:dyDescent="0.15">
      <c r="A20" t="s">
        <v>67</v>
      </c>
      <c r="B20" s="18" t="s">
        <v>79</v>
      </c>
      <c r="C20" s="18" t="s">
        <v>80</v>
      </c>
      <c r="D20" s="35"/>
      <c r="E20" s="35"/>
      <c r="F20" s="35"/>
      <c r="G20" s="35"/>
      <c r="H20" s="35"/>
      <c r="I20" s="35"/>
      <c r="J20" s="35"/>
      <c r="K20" s="35"/>
      <c r="L20" s="35"/>
    </row>
    <row r="21" spans="1:12" ht="16" x14ac:dyDescent="0.3">
      <c r="A21" t="s">
        <v>81</v>
      </c>
      <c r="B21" s="36" t="s">
        <v>74</v>
      </c>
      <c r="C21" s="36" t="s">
        <v>75</v>
      </c>
      <c r="D21" s="37">
        <v>0</v>
      </c>
      <c r="E21" s="37">
        <f>I21</f>
        <v>500</v>
      </c>
      <c r="F21" s="37">
        <f>K21</f>
        <v>3850</v>
      </c>
      <c r="G21" s="37">
        <f>[1]Sligro!D4</f>
        <v>0</v>
      </c>
      <c r="H21" s="37">
        <f>[1]Sligro!E4</f>
        <v>0</v>
      </c>
      <c r="I21" s="46">
        <f>[1]Sligro!F4</f>
        <v>500</v>
      </c>
      <c r="J21" s="37">
        <f>[1]Sligro!G4</f>
        <v>0</v>
      </c>
      <c r="K21" s="46">
        <f>[1]Sligro!H4</f>
        <v>3850</v>
      </c>
      <c r="L21" s="37">
        <f>[1]Sligro!I4</f>
        <v>0</v>
      </c>
    </row>
    <row r="22" spans="1:12" s="1" customFormat="1" x14ac:dyDescent="0.15">
      <c r="A22" s="29"/>
      <c r="B22" s="9"/>
      <c r="C22" s="9"/>
      <c r="D22" s="39"/>
      <c r="E22" s="39"/>
      <c r="F22" s="39"/>
      <c r="G22" s="39"/>
      <c r="H22" s="39"/>
      <c r="I22" s="39"/>
      <c r="J22" s="39"/>
      <c r="K22" s="39"/>
      <c r="L22" s="39"/>
    </row>
    <row r="23" spans="1:12" s="1" customFormat="1" x14ac:dyDescent="0.15">
      <c r="A23" s="29" t="s">
        <v>77</v>
      </c>
      <c r="B23" s="9"/>
      <c r="C23" s="9"/>
      <c r="D23" s="32">
        <f>D21+D18+D14+D16</f>
        <v>5500</v>
      </c>
      <c r="E23" s="32">
        <f t="shared" ref="E23:L23" si="6">E21+E18+E14+E16</f>
        <v>8189</v>
      </c>
      <c r="F23" s="32">
        <f t="shared" si="6"/>
        <v>16111</v>
      </c>
      <c r="G23" s="32">
        <f t="shared" si="6"/>
        <v>1450</v>
      </c>
      <c r="H23" s="32">
        <f t="shared" si="6"/>
        <v>5400</v>
      </c>
      <c r="I23" s="32">
        <f t="shared" si="6"/>
        <v>4050</v>
      </c>
      <c r="J23" s="32">
        <f t="shared" si="6"/>
        <v>7589</v>
      </c>
      <c r="K23" s="32">
        <f t="shared" si="6"/>
        <v>8900</v>
      </c>
      <c r="L23" s="32">
        <f t="shared" si="6"/>
        <v>12161</v>
      </c>
    </row>
    <row r="24" spans="1:12" s="1" customFormat="1" x14ac:dyDescent="0.15">
      <c r="A24" s="29"/>
      <c r="B24" s="9"/>
      <c r="C24" s="9"/>
      <c r="D24" s="32"/>
      <c r="E24" s="32"/>
      <c r="F24" s="32"/>
      <c r="G24" s="32"/>
      <c r="H24" s="32"/>
      <c r="I24" s="32"/>
      <c r="J24" s="32"/>
      <c r="K24" s="32"/>
      <c r="L24" s="32"/>
    </row>
    <row r="25" spans="1:12" ht="53.5" customHeight="1" x14ac:dyDescent="0.2">
      <c r="A25" s="104" t="s">
        <v>82</v>
      </c>
      <c r="B25" s="104"/>
      <c r="C25" s="104"/>
      <c r="D25" s="5">
        <v>2023</v>
      </c>
      <c r="E25" s="5">
        <v>2025</v>
      </c>
      <c r="F25" s="5">
        <v>2030</v>
      </c>
      <c r="G25" s="5">
        <v>2023</v>
      </c>
      <c r="H25" s="5">
        <v>2023</v>
      </c>
      <c r="I25" s="5">
        <v>2025</v>
      </c>
      <c r="J25" s="5">
        <v>2025</v>
      </c>
      <c r="K25" s="5">
        <v>2030</v>
      </c>
      <c r="L25" s="5">
        <v>2030</v>
      </c>
    </row>
    <row r="26" spans="1:12" s="31" customFormat="1" ht="28" x14ac:dyDescent="0.15">
      <c r="A26" s="30" t="s">
        <v>64</v>
      </c>
      <c r="B26" s="30" t="s">
        <v>70</v>
      </c>
      <c r="C26" s="30" t="s">
        <v>71</v>
      </c>
      <c r="D26" s="30"/>
      <c r="E26" s="30"/>
      <c r="F26" s="30"/>
      <c r="G26" s="30" t="s">
        <v>72</v>
      </c>
      <c r="H26" s="30" t="s">
        <v>73</v>
      </c>
      <c r="I26" s="30" t="s">
        <v>72</v>
      </c>
      <c r="J26" s="30" t="s">
        <v>73</v>
      </c>
      <c r="K26" s="30" t="s">
        <v>72</v>
      </c>
      <c r="L26" s="30" t="s">
        <v>73</v>
      </c>
    </row>
    <row r="27" spans="1:12" ht="16" x14ac:dyDescent="0.3">
      <c r="A27" t="s">
        <v>65</v>
      </c>
      <c r="B27" t="s">
        <v>74</v>
      </c>
      <c r="C27" t="s">
        <v>75</v>
      </c>
      <c r="D27" s="27">
        <f t="shared" ref="D27:L27" si="7">D4</f>
        <v>5150</v>
      </c>
      <c r="E27" s="27">
        <f t="shared" si="7"/>
        <v>6000</v>
      </c>
      <c r="F27" s="27">
        <f t="shared" si="7"/>
        <v>9024</v>
      </c>
      <c r="G27" s="27">
        <f t="shared" si="7"/>
        <v>1350</v>
      </c>
      <c r="H27" s="45">
        <f t="shared" si="7"/>
        <v>5150</v>
      </c>
      <c r="I27" s="27">
        <f t="shared" si="7"/>
        <v>2700</v>
      </c>
      <c r="J27" s="45">
        <f t="shared" si="7"/>
        <v>6000</v>
      </c>
      <c r="K27" s="27">
        <f t="shared" si="7"/>
        <v>4050</v>
      </c>
      <c r="L27" s="45">
        <f t="shared" si="7"/>
        <v>9024</v>
      </c>
    </row>
    <row r="28" spans="1:12" x14ac:dyDescent="0.15">
      <c r="A28" s="9"/>
      <c r="B28" s="9"/>
      <c r="C28" s="9"/>
      <c r="D28" s="33">
        <f t="shared" ref="D28:L28" si="8">D5</f>
        <v>0</v>
      </c>
      <c r="E28" s="33">
        <f t="shared" si="8"/>
        <v>0</v>
      </c>
      <c r="F28" s="33">
        <f t="shared" si="8"/>
        <v>0</v>
      </c>
      <c r="G28" s="33">
        <f t="shared" si="8"/>
        <v>0</v>
      </c>
      <c r="H28" s="33">
        <f t="shared" si="8"/>
        <v>0</v>
      </c>
      <c r="I28" s="33">
        <f t="shared" si="8"/>
        <v>0</v>
      </c>
      <c r="J28" s="33">
        <f t="shared" si="8"/>
        <v>0</v>
      </c>
      <c r="K28" s="33">
        <f t="shared" si="8"/>
        <v>0</v>
      </c>
      <c r="L28" s="33">
        <f t="shared" si="8"/>
        <v>0</v>
      </c>
    </row>
    <row r="29" spans="1:12" ht="16" x14ac:dyDescent="0.3">
      <c r="A29" t="s">
        <v>4</v>
      </c>
      <c r="B29" t="s">
        <v>74</v>
      </c>
      <c r="C29" t="s">
        <v>75</v>
      </c>
      <c r="D29" s="27">
        <f t="shared" ref="D29:L29" si="9">D6</f>
        <v>250</v>
      </c>
      <c r="E29" s="27">
        <f t="shared" si="9"/>
        <v>1589</v>
      </c>
      <c r="F29" s="27">
        <f t="shared" si="9"/>
        <v>3137</v>
      </c>
      <c r="G29" s="27">
        <f t="shared" si="9"/>
        <v>0</v>
      </c>
      <c r="H29" s="45">
        <f t="shared" si="9"/>
        <v>250</v>
      </c>
      <c r="I29" s="27">
        <f t="shared" si="9"/>
        <v>750</v>
      </c>
      <c r="J29" s="45">
        <f t="shared" si="9"/>
        <v>1589</v>
      </c>
      <c r="K29" s="27">
        <f t="shared" si="9"/>
        <v>900</v>
      </c>
      <c r="L29" s="45">
        <f t="shared" si="9"/>
        <v>3137</v>
      </c>
    </row>
    <row r="30" spans="1:12" x14ac:dyDescent="0.15">
      <c r="A30" s="9"/>
      <c r="B30" s="9"/>
      <c r="C30" s="9"/>
      <c r="D30" s="33">
        <f t="shared" ref="D30:L30" si="10">D7</f>
        <v>0</v>
      </c>
      <c r="E30" s="33">
        <f t="shared" si="10"/>
        <v>0</v>
      </c>
      <c r="F30" s="33">
        <f t="shared" si="10"/>
        <v>0</v>
      </c>
      <c r="G30" s="33">
        <f t="shared" si="10"/>
        <v>0</v>
      </c>
      <c r="H30" s="33">
        <f t="shared" si="10"/>
        <v>0</v>
      </c>
      <c r="I30" s="33">
        <f t="shared" si="10"/>
        <v>0</v>
      </c>
      <c r="J30" s="33">
        <f t="shared" si="10"/>
        <v>0</v>
      </c>
      <c r="K30" s="33">
        <f t="shared" si="10"/>
        <v>0</v>
      </c>
      <c r="L30" s="33">
        <f t="shared" si="10"/>
        <v>0</v>
      </c>
    </row>
    <row r="31" spans="1:12" x14ac:dyDescent="0.15">
      <c r="A31" s="18" t="s">
        <v>66</v>
      </c>
      <c r="D31" s="35">
        <f t="shared" ref="D31:L31" si="11">D8</f>
        <v>100</v>
      </c>
      <c r="E31" s="35">
        <f t="shared" si="11"/>
        <v>100</v>
      </c>
      <c r="F31" s="35">
        <f t="shared" si="11"/>
        <v>100</v>
      </c>
      <c r="G31" s="35">
        <f t="shared" si="11"/>
        <v>100</v>
      </c>
      <c r="H31" s="35">
        <f t="shared" si="11"/>
        <v>0</v>
      </c>
      <c r="I31" s="35">
        <f t="shared" si="11"/>
        <v>100</v>
      </c>
      <c r="J31" s="35">
        <f t="shared" si="11"/>
        <v>0</v>
      </c>
      <c r="K31" s="35">
        <f t="shared" si="11"/>
        <v>100</v>
      </c>
      <c r="L31" s="35">
        <f t="shared" si="11"/>
        <v>0</v>
      </c>
    </row>
    <row r="32" spans="1:12" x14ac:dyDescent="0.15">
      <c r="A32" s="38"/>
      <c r="B32" s="9"/>
      <c r="C32" s="9"/>
      <c r="D32" s="33"/>
      <c r="E32" s="33"/>
      <c r="F32" s="33"/>
      <c r="G32" s="33"/>
      <c r="H32" s="33"/>
      <c r="I32" s="33"/>
      <c r="J32" s="33"/>
      <c r="K32" s="33"/>
      <c r="L32" s="33"/>
    </row>
    <row r="33" spans="1:12" x14ac:dyDescent="0.15">
      <c r="A33" t="s">
        <v>67</v>
      </c>
      <c r="B33" s="18" t="s">
        <v>79</v>
      </c>
      <c r="C33" s="18" t="s">
        <v>83</v>
      </c>
      <c r="D33" s="35"/>
      <c r="E33" s="35"/>
      <c r="F33" s="35"/>
      <c r="G33" s="35"/>
      <c r="H33" s="35"/>
      <c r="I33" s="35"/>
      <c r="J33" s="35"/>
      <c r="K33" s="35"/>
      <c r="L33" s="35"/>
    </row>
    <row r="34" spans="1:12" ht="16" x14ac:dyDescent="0.3">
      <c r="B34" s="36" t="s">
        <v>74</v>
      </c>
      <c r="C34" s="36" t="s">
        <v>75</v>
      </c>
      <c r="D34" s="37"/>
      <c r="E34" s="37">
        <f>E21</f>
        <v>500</v>
      </c>
      <c r="F34" s="37">
        <f>F21</f>
        <v>3850</v>
      </c>
      <c r="G34" s="37"/>
      <c r="H34" s="37"/>
      <c r="I34" s="46">
        <f>I21</f>
        <v>500</v>
      </c>
      <c r="J34" s="46">
        <f t="shared" ref="J34:L34" si="12">J21</f>
        <v>0</v>
      </c>
      <c r="K34" s="46">
        <f t="shared" si="12"/>
        <v>3850</v>
      </c>
      <c r="L34" s="46">
        <f t="shared" si="12"/>
        <v>0</v>
      </c>
    </row>
    <row r="35" spans="1:12" s="1" customFormat="1" x14ac:dyDescent="0.15">
      <c r="A35" s="29"/>
      <c r="B35" s="9"/>
      <c r="C35" s="9"/>
      <c r="D35" s="39"/>
      <c r="E35" s="39"/>
      <c r="F35" s="39"/>
      <c r="G35" s="33"/>
      <c r="H35" s="33"/>
      <c r="I35" s="33"/>
      <c r="J35" s="33"/>
      <c r="K35" s="33"/>
      <c r="L35" s="33"/>
    </row>
    <row r="36" spans="1:12" ht="42" x14ac:dyDescent="0.15">
      <c r="A36" t="s">
        <v>68</v>
      </c>
      <c r="B36" s="3" t="s">
        <v>84</v>
      </c>
      <c r="C36" s="3" t="s">
        <v>85</v>
      </c>
      <c r="D36" s="27"/>
      <c r="E36" s="35"/>
      <c r="F36" s="35">
        <v>2000</v>
      </c>
      <c r="G36" s="27"/>
      <c r="H36" s="27"/>
      <c r="I36" s="27">
        <f>E36</f>
        <v>0</v>
      </c>
      <c r="J36" s="27">
        <f>E36</f>
        <v>0</v>
      </c>
      <c r="K36" s="27">
        <f>F36</f>
        <v>2000</v>
      </c>
      <c r="L36" s="27">
        <f>F36</f>
        <v>2000</v>
      </c>
    </row>
    <row r="37" spans="1:12" s="1" customFormat="1" x14ac:dyDescent="0.15">
      <c r="A37" s="29"/>
      <c r="B37" s="9"/>
      <c r="C37" s="9"/>
      <c r="D37" s="39"/>
      <c r="E37" s="39"/>
      <c r="F37" s="39"/>
      <c r="G37" s="39"/>
      <c r="H37" s="39"/>
      <c r="I37" s="39"/>
      <c r="J37" s="39"/>
      <c r="K37" s="39"/>
      <c r="L37" s="39"/>
    </row>
    <row r="38" spans="1:12" s="1" customFormat="1" x14ac:dyDescent="0.15">
      <c r="A38" s="29" t="s">
        <v>77</v>
      </c>
      <c r="B38" s="9"/>
      <c r="C38" s="9"/>
      <c r="D38" s="32">
        <f>D31+D34+D36+D27+D29</f>
        <v>5500</v>
      </c>
      <c r="E38" s="32">
        <f t="shared" ref="E38:J38" si="13">E31+E34+E36+E27+E29</f>
        <v>8189</v>
      </c>
      <c r="F38" s="32">
        <f t="shared" si="13"/>
        <v>18111</v>
      </c>
      <c r="G38" s="32">
        <f t="shared" si="13"/>
        <v>1450</v>
      </c>
      <c r="H38" s="32">
        <f t="shared" si="13"/>
        <v>5400</v>
      </c>
      <c r="I38" s="32">
        <f t="shared" si="13"/>
        <v>4050</v>
      </c>
      <c r="J38" s="32">
        <f t="shared" si="13"/>
        <v>7589</v>
      </c>
      <c r="K38" s="32"/>
      <c r="L38" s="32"/>
    </row>
    <row r="39" spans="1:12" s="1" customFormat="1" x14ac:dyDescent="0.15">
      <c r="B39"/>
      <c r="C39"/>
      <c r="D39" s="41"/>
      <c r="E39" s="41"/>
      <c r="F39" s="41"/>
      <c r="G39" s="41"/>
      <c r="H39" s="41"/>
      <c r="I39" s="41"/>
      <c r="J39" s="41"/>
      <c r="K39" s="41"/>
      <c r="L39" s="41"/>
    </row>
  </sheetData>
  <mergeCells count="3">
    <mergeCell ref="A2:C2"/>
    <mergeCell ref="A25:C25"/>
    <mergeCell ref="A12:C12"/>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D90DA6-2261-4E51-8929-744E2D23B692}">
  <dimension ref="A1:L55"/>
  <sheetViews>
    <sheetView tabSelected="1" topLeftCell="A28" workbookViewId="0">
      <selection activeCell="A39" sqref="A39"/>
    </sheetView>
  </sheetViews>
  <sheetFormatPr baseColWidth="10" defaultColWidth="8.83203125" defaultRowHeight="13" x14ac:dyDescent="0.15"/>
  <cols>
    <col min="1" max="1" width="25" customWidth="1"/>
    <col min="2" max="2" width="10.33203125" bestFit="1" customWidth="1"/>
    <col min="7" max="12" width="20.33203125" customWidth="1"/>
  </cols>
  <sheetData>
    <row r="1" spans="1:12" ht="18" x14ac:dyDescent="0.2">
      <c r="A1" s="4" t="s">
        <v>86</v>
      </c>
      <c r="D1" s="5">
        <v>2023</v>
      </c>
      <c r="E1" s="5">
        <v>2025</v>
      </c>
      <c r="F1" s="5">
        <v>2030</v>
      </c>
      <c r="G1" s="5">
        <v>2023</v>
      </c>
      <c r="H1" s="5">
        <v>2023</v>
      </c>
      <c r="I1" s="5">
        <v>2025</v>
      </c>
      <c r="J1" s="5">
        <v>2025</v>
      </c>
      <c r="K1" s="5">
        <v>2030</v>
      </c>
      <c r="L1" s="5">
        <v>2030</v>
      </c>
    </row>
    <row r="2" spans="1:12" s="8" customFormat="1" x14ac:dyDescent="0.15">
      <c r="A2" s="5" t="s">
        <v>87</v>
      </c>
      <c r="B2" s="5" t="s">
        <v>88</v>
      </c>
      <c r="C2" s="5" t="s">
        <v>89</v>
      </c>
      <c r="D2" s="5"/>
      <c r="E2" s="5"/>
      <c r="F2" s="5"/>
      <c r="G2" s="5" t="s">
        <v>72</v>
      </c>
      <c r="H2" s="5" t="s">
        <v>73</v>
      </c>
      <c r="I2" s="5" t="s">
        <v>72</v>
      </c>
      <c r="J2" s="5" t="s">
        <v>73</v>
      </c>
      <c r="K2" s="5" t="s">
        <v>72</v>
      </c>
      <c r="L2" s="5" t="s">
        <v>73</v>
      </c>
    </row>
    <row r="3" spans="1:12" x14ac:dyDescent="0.15">
      <c r="A3" t="s">
        <v>90</v>
      </c>
      <c r="D3" s="17">
        <v>5150</v>
      </c>
      <c r="G3" s="28">
        <f>3*450</f>
        <v>1350</v>
      </c>
      <c r="H3" s="28">
        <f>D3</f>
        <v>5150</v>
      </c>
      <c r="I3" s="28"/>
      <c r="J3" s="28"/>
      <c r="K3" s="28"/>
      <c r="L3" s="28"/>
    </row>
    <row r="4" spans="1:12" x14ac:dyDescent="0.15">
      <c r="A4" t="s">
        <v>91</v>
      </c>
      <c r="B4" t="s">
        <v>74</v>
      </c>
      <c r="C4" t="s">
        <v>75</v>
      </c>
      <c r="E4" s="23">
        <f>J4</f>
        <v>6000</v>
      </c>
      <c r="G4" s="28"/>
      <c r="H4" s="28"/>
      <c r="I4" s="28">
        <f>6*450</f>
        <v>2700</v>
      </c>
      <c r="J4" s="28">
        <f>0.8*125*60</f>
        <v>6000</v>
      </c>
    </row>
    <row r="5" spans="1:12" x14ac:dyDescent="0.15">
      <c r="A5" t="s">
        <v>92</v>
      </c>
      <c r="B5" t="s">
        <v>74</v>
      </c>
      <c r="C5" t="s">
        <v>75</v>
      </c>
    </row>
    <row r="6" spans="1:12" x14ac:dyDescent="0.15">
      <c r="A6" t="s">
        <v>93</v>
      </c>
      <c r="B6" t="s">
        <v>74</v>
      </c>
      <c r="C6" t="s">
        <v>75</v>
      </c>
      <c r="F6" s="23">
        <f>L6</f>
        <v>9024</v>
      </c>
      <c r="K6" s="28">
        <f>9*450</f>
        <v>4050</v>
      </c>
      <c r="L6" s="28">
        <f>0.8*188*60</f>
        <v>9024</v>
      </c>
    </row>
    <row r="7" spans="1:12" x14ac:dyDescent="0.15">
      <c r="A7" s="9"/>
      <c r="B7" s="9"/>
      <c r="C7" s="9"/>
      <c r="D7" s="9"/>
      <c r="E7" s="9"/>
      <c r="F7" s="9"/>
      <c r="G7" s="9"/>
      <c r="H7" s="9"/>
      <c r="I7" s="9"/>
      <c r="J7" s="9"/>
      <c r="K7" s="9"/>
      <c r="L7" s="9"/>
    </row>
    <row r="8" spans="1:12" x14ac:dyDescent="0.15">
      <c r="A8" s="9"/>
      <c r="B8" s="9"/>
      <c r="C8" s="9"/>
      <c r="D8" s="9"/>
      <c r="E8" s="9"/>
      <c r="F8" s="9"/>
      <c r="G8" s="9"/>
      <c r="H8" s="9"/>
      <c r="I8" s="9"/>
      <c r="J8" s="9"/>
      <c r="K8" s="9"/>
      <c r="L8" s="9"/>
    </row>
    <row r="9" spans="1:12" x14ac:dyDescent="0.15">
      <c r="A9" s="1" t="s">
        <v>94</v>
      </c>
    </row>
    <row r="14" spans="1:12" ht="14" x14ac:dyDescent="0.15">
      <c r="A14" s="30" t="s">
        <v>95</v>
      </c>
      <c r="B14" s="5" t="s">
        <v>96</v>
      </c>
      <c r="C14" s="5" t="s">
        <v>97</v>
      </c>
      <c r="D14" s="5"/>
      <c r="E14" s="5"/>
      <c r="F14" s="5"/>
    </row>
    <row r="15" spans="1:12" ht="28" x14ac:dyDescent="0.15">
      <c r="A15" s="3" t="s">
        <v>98</v>
      </c>
      <c r="B15" s="57">
        <f>(1300*C15/10000)*1000</f>
        <v>19500</v>
      </c>
      <c r="C15" s="8">
        <v>150</v>
      </c>
      <c r="D15" s="5"/>
      <c r="E15" s="5"/>
      <c r="F15" s="5"/>
    </row>
    <row r="16" spans="1:12" ht="14" x14ac:dyDescent="0.15">
      <c r="A16" s="3" t="s">
        <v>99</v>
      </c>
      <c r="B16" s="57">
        <f>(1300*C16/10000)*1000</f>
        <v>162500</v>
      </c>
      <c r="C16" s="64">
        <f>50*25</f>
        <v>1250</v>
      </c>
      <c r="D16" s="5"/>
      <c r="E16" s="5"/>
      <c r="F16" s="5"/>
    </row>
    <row r="17" spans="1:12" ht="28" x14ac:dyDescent="0.15">
      <c r="A17" s="3" t="s">
        <v>100</v>
      </c>
      <c r="B17" s="5"/>
      <c r="C17" s="5"/>
      <c r="D17" s="5"/>
      <c r="E17" s="5"/>
      <c r="F17" s="5"/>
    </row>
    <row r="18" spans="1:12" x14ac:dyDescent="0.15">
      <c r="A18" s="5"/>
      <c r="B18" s="5"/>
      <c r="C18" s="5"/>
      <c r="D18" s="5"/>
      <c r="E18" s="5"/>
      <c r="F18" s="5"/>
    </row>
    <row r="20" spans="1:12" x14ac:dyDescent="0.15">
      <c r="A20" s="9"/>
      <c r="B20" s="9"/>
      <c r="C20" s="9"/>
      <c r="D20" s="9"/>
      <c r="E20" s="9"/>
      <c r="F20" s="9"/>
      <c r="G20" s="9"/>
      <c r="H20" s="9"/>
      <c r="I20" s="9"/>
      <c r="J20" s="9"/>
      <c r="K20" s="9"/>
      <c r="L20" s="9"/>
    </row>
    <row r="21" spans="1:12" x14ac:dyDescent="0.15">
      <c r="A21" s="5" t="s">
        <v>101</v>
      </c>
    </row>
    <row r="22" spans="1:12" x14ac:dyDescent="0.15">
      <c r="A22" t="s">
        <v>102</v>
      </c>
    </row>
    <row r="23" spans="1:12" x14ac:dyDescent="0.15">
      <c r="A23" s="52" t="s">
        <v>103</v>
      </c>
    </row>
    <row r="24" spans="1:12" x14ac:dyDescent="0.15">
      <c r="A24" s="52" t="s">
        <v>104</v>
      </c>
    </row>
    <row r="25" spans="1:12" x14ac:dyDescent="0.15">
      <c r="A25" s="52" t="s">
        <v>105</v>
      </c>
    </row>
    <row r="26" spans="1:12" x14ac:dyDescent="0.15">
      <c r="A26" s="9"/>
      <c r="B26" s="9"/>
      <c r="C26" s="9"/>
      <c r="D26" s="9"/>
      <c r="E26" s="9"/>
      <c r="F26" s="9"/>
      <c r="G26" s="9"/>
      <c r="H26" s="9"/>
      <c r="I26" s="9"/>
      <c r="J26" s="9"/>
      <c r="K26" s="9"/>
      <c r="L26" s="9"/>
    </row>
    <row r="27" spans="1:12" x14ac:dyDescent="0.15">
      <c r="A27" s="5" t="s">
        <v>106</v>
      </c>
    </row>
    <row r="28" spans="1:12" ht="42" x14ac:dyDescent="0.15">
      <c r="A28" s="3" t="s">
        <v>107</v>
      </c>
    </row>
    <row r="30" spans="1:12" x14ac:dyDescent="0.15">
      <c r="A30" s="9"/>
      <c r="B30" s="9"/>
      <c r="C30" s="9"/>
      <c r="D30" s="9"/>
      <c r="E30" s="9"/>
      <c r="F30" s="9"/>
      <c r="G30" s="9"/>
      <c r="H30" s="9"/>
      <c r="I30" s="9"/>
      <c r="J30" s="9"/>
      <c r="K30" s="9"/>
      <c r="L30" s="9"/>
    </row>
    <row r="31" spans="1:12" x14ac:dyDescent="0.15">
      <c r="A31" s="5" t="s">
        <v>108</v>
      </c>
    </row>
    <row r="32" spans="1:12" x14ac:dyDescent="0.15">
      <c r="A32" t="s">
        <v>109</v>
      </c>
    </row>
    <row r="33" spans="1:12" x14ac:dyDescent="0.15">
      <c r="A33" t="s">
        <v>110</v>
      </c>
    </row>
    <row r="34" spans="1:12" x14ac:dyDescent="0.15">
      <c r="A34" s="9"/>
      <c r="B34" s="9"/>
      <c r="C34" s="9"/>
      <c r="D34" s="9"/>
      <c r="E34" s="9"/>
      <c r="F34" s="9"/>
      <c r="G34" s="9"/>
      <c r="H34" s="9"/>
      <c r="I34" s="9"/>
      <c r="J34" s="9"/>
      <c r="K34" s="9"/>
      <c r="L34" s="9"/>
    </row>
    <row r="35" spans="1:12" x14ac:dyDescent="0.15">
      <c r="A35" s="10" t="s">
        <v>111</v>
      </c>
    </row>
    <row r="36" spans="1:12" x14ac:dyDescent="0.15">
      <c r="A36" s="51" t="s">
        <v>112</v>
      </c>
    </row>
    <row r="37" spans="1:12" x14ac:dyDescent="0.15">
      <c r="A37" s="105" t="s">
        <v>113</v>
      </c>
      <c r="B37" s="105"/>
      <c r="C37" s="105"/>
      <c r="D37" s="105"/>
      <c r="E37" s="105"/>
      <c r="F37" s="105"/>
      <c r="G37" s="105"/>
      <c r="H37" s="105"/>
      <c r="I37" s="105"/>
      <c r="J37" s="105"/>
      <c r="K37" s="105"/>
      <c r="L37" s="105"/>
    </row>
    <row r="38" spans="1:12" x14ac:dyDescent="0.15">
      <c r="A38" s="21" t="s">
        <v>114</v>
      </c>
      <c r="B38" s="22"/>
      <c r="C38" s="22"/>
      <c r="D38" s="22"/>
      <c r="E38" s="22"/>
      <c r="F38" s="22"/>
      <c r="G38" s="22"/>
      <c r="H38" s="22"/>
      <c r="I38" s="22"/>
      <c r="J38" s="22"/>
      <c r="K38" s="22"/>
      <c r="L38" s="22"/>
    </row>
    <row r="39" spans="1:12" x14ac:dyDescent="0.15">
      <c r="A39" s="21" t="s">
        <v>115</v>
      </c>
      <c r="B39" s="20"/>
      <c r="C39" s="20"/>
      <c r="D39" s="20"/>
      <c r="E39" s="20"/>
      <c r="F39" s="20"/>
      <c r="G39" s="20"/>
      <c r="H39" s="20"/>
      <c r="I39" s="20"/>
      <c r="J39" s="20"/>
      <c r="K39" s="20"/>
      <c r="L39" s="20"/>
    </row>
    <row r="40" spans="1:12" x14ac:dyDescent="0.15">
      <c r="A40" s="26" t="s">
        <v>116</v>
      </c>
      <c r="B40" s="20"/>
      <c r="C40" s="20"/>
      <c r="D40" s="20"/>
      <c r="E40" s="20"/>
      <c r="F40" s="20"/>
      <c r="G40" s="20"/>
      <c r="H40" s="20"/>
      <c r="I40" s="20"/>
      <c r="J40" s="20"/>
      <c r="K40" s="20"/>
      <c r="L40" s="20"/>
    </row>
    <row r="41" spans="1:12" x14ac:dyDescent="0.15">
      <c r="A41" s="17" t="s">
        <v>117</v>
      </c>
    </row>
    <row r="42" spans="1:12" x14ac:dyDescent="0.15">
      <c r="A42" s="17" t="s">
        <v>118</v>
      </c>
    </row>
    <row r="43" spans="1:12" x14ac:dyDescent="0.15">
      <c r="A43" s="17" t="s">
        <v>119</v>
      </c>
    </row>
    <row r="46" spans="1:12" x14ac:dyDescent="0.15">
      <c r="A46" s="10" t="s">
        <v>120</v>
      </c>
    </row>
    <row r="47" spans="1:12" x14ac:dyDescent="0.15">
      <c r="A47" s="18" t="s">
        <v>121</v>
      </c>
    </row>
    <row r="48" spans="1:12" x14ac:dyDescent="0.15">
      <c r="A48" s="18" t="s">
        <v>122</v>
      </c>
    </row>
    <row r="49" spans="1:1" x14ac:dyDescent="0.15">
      <c r="A49" s="10"/>
    </row>
    <row r="51" spans="1:1" x14ac:dyDescent="0.15">
      <c r="A51" s="19" t="s">
        <v>123</v>
      </c>
    </row>
    <row r="52" spans="1:1" x14ac:dyDescent="0.15">
      <c r="A52" s="17" t="s">
        <v>124</v>
      </c>
    </row>
    <row r="53" spans="1:1" x14ac:dyDescent="0.15">
      <c r="A53" s="17" t="s">
        <v>125</v>
      </c>
    </row>
    <row r="54" spans="1:1" x14ac:dyDescent="0.15">
      <c r="A54" t="s">
        <v>126</v>
      </c>
    </row>
    <row r="55" spans="1:1" x14ac:dyDescent="0.15">
      <c r="A55" t="s">
        <v>127</v>
      </c>
    </row>
  </sheetData>
  <mergeCells count="1">
    <mergeCell ref="A37:L37"/>
  </mergeCells>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F3686A-2993-43DA-800F-AEE75FBC3A53}">
  <dimension ref="A1:I51"/>
  <sheetViews>
    <sheetView workbookViewId="0">
      <selection activeCell="E10" sqref="E10"/>
    </sheetView>
  </sheetViews>
  <sheetFormatPr baseColWidth="10" defaultColWidth="8.83203125" defaultRowHeight="13" x14ac:dyDescent="0.15"/>
  <cols>
    <col min="1" max="1" width="39" customWidth="1"/>
    <col min="4" max="9" width="17.6640625" customWidth="1"/>
  </cols>
  <sheetData>
    <row r="1" spans="1:9" ht="18" x14ac:dyDescent="0.2">
      <c r="A1" s="4" t="s">
        <v>128</v>
      </c>
      <c r="D1" s="5">
        <v>2023</v>
      </c>
      <c r="E1" s="5">
        <v>2023</v>
      </c>
      <c r="F1" s="5">
        <v>2025</v>
      </c>
      <c r="G1" s="5">
        <v>2025</v>
      </c>
      <c r="H1" s="5">
        <v>2030</v>
      </c>
      <c r="I1" s="5">
        <v>2030</v>
      </c>
    </row>
    <row r="2" spans="1:9" s="8" customFormat="1" x14ac:dyDescent="0.15">
      <c r="A2" s="5" t="s">
        <v>87</v>
      </c>
      <c r="B2" s="5" t="s">
        <v>88</v>
      </c>
      <c r="C2" s="5" t="s">
        <v>89</v>
      </c>
      <c r="D2" s="5" t="s">
        <v>72</v>
      </c>
      <c r="E2" s="5" t="s">
        <v>73</v>
      </c>
      <c r="F2" s="5" t="s">
        <v>72</v>
      </c>
      <c r="G2" s="5" t="s">
        <v>73</v>
      </c>
      <c r="H2" s="5" t="s">
        <v>72</v>
      </c>
      <c r="I2" s="5" t="s">
        <v>73</v>
      </c>
    </row>
    <row r="3" spans="1:9" x14ac:dyDescent="0.15">
      <c r="A3" t="s">
        <v>129</v>
      </c>
      <c r="B3" t="s">
        <v>130</v>
      </c>
      <c r="C3">
        <v>250</v>
      </c>
      <c r="E3">
        <v>250</v>
      </c>
    </row>
    <row r="4" spans="1:9" x14ac:dyDescent="0.15">
      <c r="A4" t="s">
        <v>131</v>
      </c>
    </row>
    <row r="6" spans="1:9" x14ac:dyDescent="0.15">
      <c r="A6" s="1" t="s">
        <v>132</v>
      </c>
    </row>
    <row r="7" spans="1:9" x14ac:dyDescent="0.15">
      <c r="A7" t="s">
        <v>133</v>
      </c>
      <c r="G7">
        <f>1*60</f>
        <v>60</v>
      </c>
      <c r="I7">
        <f>2*60*0.8</f>
        <v>96</v>
      </c>
    </row>
    <row r="8" spans="1:9" x14ac:dyDescent="0.15">
      <c r="A8" t="s">
        <v>134</v>
      </c>
      <c r="G8">
        <v>17</v>
      </c>
      <c r="I8">
        <v>17</v>
      </c>
    </row>
    <row r="9" spans="1:9" x14ac:dyDescent="0.15">
      <c r="A9" t="s">
        <v>135</v>
      </c>
      <c r="F9">
        <f>5*150</f>
        <v>750</v>
      </c>
      <c r="G9" s="27">
        <f>(63/2*60)*0.8</f>
        <v>1512</v>
      </c>
      <c r="H9">
        <f>6*150</f>
        <v>900</v>
      </c>
      <c r="I9">
        <f>63*60*0.8</f>
        <v>3024</v>
      </c>
    </row>
    <row r="10" spans="1:9" ht="28" x14ac:dyDescent="0.15">
      <c r="A10" s="47" t="s">
        <v>136</v>
      </c>
    </row>
    <row r="11" spans="1:9" x14ac:dyDescent="0.15">
      <c r="A11" s="29" t="s">
        <v>137</v>
      </c>
      <c r="B11" s="9"/>
      <c r="C11" s="9"/>
      <c r="D11" s="9"/>
      <c r="E11" s="9"/>
      <c r="F11" s="32">
        <f>SUM(F3:F10)</f>
        <v>750</v>
      </c>
      <c r="G11" s="32">
        <f>SUM(G3:G10)</f>
        <v>1589</v>
      </c>
      <c r="H11" s="32">
        <f>SUM(H3:H10)</f>
        <v>900</v>
      </c>
      <c r="I11" s="32">
        <f>SUM(I3:I10)</f>
        <v>3137</v>
      </c>
    </row>
    <row r="12" spans="1:9" x14ac:dyDescent="0.15">
      <c r="A12" s="5" t="s">
        <v>95</v>
      </c>
      <c r="B12" s="5"/>
      <c r="C12" s="5"/>
    </row>
    <row r="14" spans="1:9" x14ac:dyDescent="0.15">
      <c r="A14" s="9"/>
      <c r="B14" s="9"/>
      <c r="C14" s="9"/>
      <c r="D14" s="9"/>
      <c r="E14" s="9"/>
      <c r="F14" s="9"/>
      <c r="G14" s="9"/>
      <c r="H14" s="9"/>
      <c r="I14" s="9"/>
    </row>
    <row r="15" spans="1:9" x14ac:dyDescent="0.15">
      <c r="A15" s="5" t="s">
        <v>101</v>
      </c>
    </row>
    <row r="16" spans="1:9" x14ac:dyDescent="0.15">
      <c r="A16" t="s">
        <v>138</v>
      </c>
    </row>
    <row r="18" spans="1:9" x14ac:dyDescent="0.15">
      <c r="A18" s="9"/>
      <c r="B18" s="9"/>
      <c r="C18" s="9"/>
      <c r="D18" s="9"/>
      <c r="E18" s="9"/>
      <c r="F18" s="9"/>
      <c r="G18" s="9"/>
      <c r="H18" s="9"/>
      <c r="I18" s="9"/>
    </row>
    <row r="19" spans="1:9" x14ac:dyDescent="0.15">
      <c r="A19" s="5" t="s">
        <v>106</v>
      </c>
    </row>
    <row r="20" spans="1:9" ht="28" x14ac:dyDescent="0.15">
      <c r="A20" s="3" t="s">
        <v>107</v>
      </c>
    </row>
    <row r="21" spans="1:9" x14ac:dyDescent="0.15">
      <c r="A21" s="19"/>
    </row>
    <row r="22" spans="1:9" x14ac:dyDescent="0.15">
      <c r="A22" s="9"/>
      <c r="B22" s="9"/>
      <c r="C22" s="9"/>
      <c r="D22" s="9"/>
      <c r="E22" s="9"/>
      <c r="F22" s="9"/>
      <c r="G22" s="9"/>
      <c r="H22" s="9"/>
      <c r="I22" s="9"/>
    </row>
    <row r="23" spans="1:9" x14ac:dyDescent="0.15">
      <c r="A23" s="5" t="s">
        <v>108</v>
      </c>
    </row>
    <row r="24" spans="1:9" ht="56" x14ac:dyDescent="0.15">
      <c r="A24" s="3" t="s">
        <v>139</v>
      </c>
    </row>
    <row r="25" spans="1:9" x14ac:dyDescent="0.15">
      <c r="A25" t="s">
        <v>140</v>
      </c>
    </row>
    <row r="26" spans="1:9" x14ac:dyDescent="0.15">
      <c r="A26" t="s">
        <v>141</v>
      </c>
    </row>
    <row r="27" spans="1:9" x14ac:dyDescent="0.15">
      <c r="A27" t="s">
        <v>142</v>
      </c>
    </row>
    <row r="28" spans="1:9" x14ac:dyDescent="0.15">
      <c r="A28" s="9"/>
      <c r="B28" s="9"/>
      <c r="C28" s="9"/>
      <c r="D28" s="9"/>
      <c r="E28" s="9"/>
      <c r="F28" s="9"/>
      <c r="G28" s="9"/>
      <c r="H28" s="9"/>
      <c r="I28" s="9"/>
    </row>
    <row r="29" spans="1:9" x14ac:dyDescent="0.15">
      <c r="A29" s="10" t="s">
        <v>111</v>
      </c>
    </row>
    <row r="30" spans="1:9" x14ac:dyDescent="0.15">
      <c r="A30" t="s">
        <v>143</v>
      </c>
    </row>
    <row r="31" spans="1:9" x14ac:dyDescent="0.15">
      <c r="A31" s="17" t="s">
        <v>144</v>
      </c>
    </row>
    <row r="32" spans="1:9" x14ac:dyDescent="0.15">
      <c r="A32" s="17" t="s">
        <v>118</v>
      </c>
    </row>
    <row r="33" spans="1:9" x14ac:dyDescent="0.15">
      <c r="A33" s="17" t="s">
        <v>119</v>
      </c>
    </row>
    <row r="34" spans="1:9" x14ac:dyDescent="0.15">
      <c r="A34" s="9"/>
      <c r="B34" s="9"/>
      <c r="C34" s="9"/>
      <c r="D34" s="9"/>
      <c r="E34" s="9"/>
      <c r="F34" s="9"/>
      <c r="G34" s="9"/>
      <c r="H34" s="9"/>
      <c r="I34" s="9"/>
    </row>
    <row r="35" spans="1:9" x14ac:dyDescent="0.15">
      <c r="A35" s="10" t="s">
        <v>120</v>
      </c>
    </row>
    <row r="36" spans="1:9" x14ac:dyDescent="0.15">
      <c r="A36" t="s">
        <v>145</v>
      </c>
    </row>
    <row r="37" spans="1:9" x14ac:dyDescent="0.15">
      <c r="A37" t="s">
        <v>146</v>
      </c>
    </row>
    <row r="38" spans="1:9" x14ac:dyDescent="0.15">
      <c r="A38" s="25" t="s">
        <v>147</v>
      </c>
    </row>
    <row r="39" spans="1:9" x14ac:dyDescent="0.15">
      <c r="A39" s="25" t="s">
        <v>148</v>
      </c>
    </row>
    <row r="40" spans="1:9" x14ac:dyDescent="0.15">
      <c r="A40" s="25"/>
    </row>
    <row r="41" spans="1:9" s="7" customFormat="1" ht="15" x14ac:dyDescent="0.15">
      <c r="A41" s="6" t="s">
        <v>149</v>
      </c>
      <c r="D41"/>
      <c r="E41"/>
      <c r="F41"/>
      <c r="G41"/>
      <c r="H41"/>
      <c r="I41"/>
    </row>
    <row r="42" spans="1:9" s="7" customFormat="1" ht="15" x14ac:dyDescent="0.15">
      <c r="A42" s="6"/>
      <c r="D42"/>
      <c r="E42"/>
      <c r="F42"/>
      <c r="G42"/>
      <c r="H42"/>
      <c r="I42"/>
    </row>
    <row r="43" spans="1:9" s="7" customFormat="1" ht="15" x14ac:dyDescent="0.15">
      <c r="A43" s="6" t="s">
        <v>150</v>
      </c>
      <c r="D43"/>
      <c r="E43"/>
      <c r="F43"/>
      <c r="G43"/>
      <c r="H43"/>
      <c r="I43"/>
    </row>
    <row r="44" spans="1:9" s="7" customFormat="1" ht="15" x14ac:dyDescent="0.15">
      <c r="A44" s="6" t="s">
        <v>151</v>
      </c>
      <c r="D44"/>
      <c r="E44"/>
      <c r="F44"/>
      <c r="G44"/>
      <c r="H44"/>
      <c r="I44"/>
    </row>
    <row r="45" spans="1:9" s="7" customFormat="1" ht="15" x14ac:dyDescent="0.15">
      <c r="A45" s="6" t="s">
        <v>152</v>
      </c>
      <c r="D45"/>
      <c r="E45"/>
      <c r="F45"/>
      <c r="G45"/>
      <c r="H45"/>
      <c r="I45"/>
    </row>
    <row r="46" spans="1:9" s="7" customFormat="1" ht="15" x14ac:dyDescent="0.15">
      <c r="A46" s="6" t="s">
        <v>153</v>
      </c>
      <c r="D46"/>
      <c r="E46"/>
      <c r="F46"/>
      <c r="G46"/>
      <c r="H46"/>
      <c r="I46"/>
    </row>
    <row r="47" spans="1:9" s="7" customFormat="1" x14ac:dyDescent="0.15">
      <c r="D47"/>
      <c r="E47"/>
      <c r="F47"/>
      <c r="G47"/>
      <c r="H47"/>
      <c r="I47"/>
    </row>
    <row r="48" spans="1:9" ht="15" x14ac:dyDescent="0.15">
      <c r="A48" s="2"/>
    </row>
    <row r="50" spans="1:1" ht="15" x14ac:dyDescent="0.15">
      <c r="A50" s="2"/>
    </row>
    <row r="51" spans="1:1" ht="15" x14ac:dyDescent="0.15">
      <c r="A51" s="2"/>
    </row>
  </sheetData>
  <pageMargins left="0.7" right="0.7" top="0.75" bottom="0.75" header="0.3" footer="0.3"/>
  <pageSetup paperSize="9" orientation="portrait" r:id="rId1"/>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4DF9A3-2B92-4EB7-BDB0-A1BEB67C4C96}">
  <dimension ref="A1:I43"/>
  <sheetViews>
    <sheetView workbookViewId="0">
      <selection activeCell="D4" sqref="D4"/>
    </sheetView>
  </sheetViews>
  <sheetFormatPr baseColWidth="10" defaultColWidth="8.83203125" defaultRowHeight="13" x14ac:dyDescent="0.15"/>
  <cols>
    <col min="1" max="1" width="35.6640625" customWidth="1"/>
    <col min="2" max="2" width="11.33203125" bestFit="1" customWidth="1"/>
    <col min="4" max="9" width="21" customWidth="1"/>
  </cols>
  <sheetData>
    <row r="1" spans="1:9" ht="18" x14ac:dyDescent="0.2">
      <c r="A1" s="4" t="s">
        <v>154</v>
      </c>
      <c r="D1" s="5">
        <v>2023</v>
      </c>
      <c r="E1" s="5">
        <v>2023</v>
      </c>
      <c r="F1" s="5">
        <v>2025</v>
      </c>
      <c r="G1" s="5">
        <v>2025</v>
      </c>
      <c r="H1" s="5">
        <v>2030</v>
      </c>
      <c r="I1" s="5">
        <v>2030</v>
      </c>
    </row>
    <row r="2" spans="1:9" s="8" customFormat="1" x14ac:dyDescent="0.15">
      <c r="A2" s="5" t="s">
        <v>87</v>
      </c>
      <c r="B2" s="5" t="s">
        <v>88</v>
      </c>
      <c r="C2" s="5" t="s">
        <v>89</v>
      </c>
      <c r="D2" s="5" t="s">
        <v>72</v>
      </c>
      <c r="E2" s="5" t="s">
        <v>73</v>
      </c>
      <c r="F2" s="5" t="s">
        <v>72</v>
      </c>
      <c r="G2" s="5" t="s">
        <v>73</v>
      </c>
      <c r="H2" s="5" t="s">
        <v>72</v>
      </c>
      <c r="I2" s="5" t="s">
        <v>73</v>
      </c>
    </row>
    <row r="3" spans="1:9" x14ac:dyDescent="0.15">
      <c r="A3" t="s">
        <v>155</v>
      </c>
      <c r="D3" s="23">
        <f>((B35*50/1000)/1000)*2040</f>
        <v>293.45400000000001</v>
      </c>
      <c r="F3" s="44">
        <f>D3</f>
        <v>293.45400000000001</v>
      </c>
      <c r="H3" s="44">
        <f>F3</f>
        <v>293.45400000000001</v>
      </c>
    </row>
    <row r="4" spans="1:9" x14ac:dyDescent="0.15">
      <c r="A4" s="77" t="s">
        <v>156</v>
      </c>
      <c r="D4" s="28">
        <f>B35*50</f>
        <v>143850</v>
      </c>
    </row>
    <row r="5" spans="1:9" x14ac:dyDescent="0.15">
      <c r="A5" s="9"/>
      <c r="B5" s="9"/>
      <c r="C5" s="9"/>
      <c r="D5" s="9"/>
      <c r="E5" s="9"/>
      <c r="F5" s="9"/>
      <c r="G5" s="9"/>
      <c r="H5" s="9"/>
      <c r="I5" s="9"/>
    </row>
    <row r="6" spans="1:9" x14ac:dyDescent="0.15">
      <c r="A6" s="5" t="s">
        <v>95</v>
      </c>
      <c r="B6" s="5" t="s">
        <v>96</v>
      </c>
      <c r="C6" s="5"/>
      <c r="D6" s="17"/>
    </row>
    <row r="7" spans="1:9" x14ac:dyDescent="0.15">
      <c r="A7" t="s">
        <v>157</v>
      </c>
      <c r="B7" s="57">
        <f>(B35/2)*13000/100</f>
        <v>187005</v>
      </c>
      <c r="C7" s="5"/>
      <c r="D7" s="17"/>
    </row>
    <row r="8" spans="1:9" x14ac:dyDescent="0.15">
      <c r="A8" t="s">
        <v>158</v>
      </c>
      <c r="B8" s="57">
        <f>((B35/2)+B37+B38+B39+B43)*13000/100</f>
        <v>5491265</v>
      </c>
      <c r="C8" s="5"/>
      <c r="D8" s="17"/>
    </row>
    <row r="9" spans="1:9" ht="28" x14ac:dyDescent="0.15">
      <c r="A9" s="3" t="s">
        <v>100</v>
      </c>
      <c r="B9" s="57">
        <f>((B35/2)+B37+B38+B39+B43+B36+B40)*13000/100</f>
        <v>6537765</v>
      </c>
      <c r="C9" s="5"/>
      <c r="D9" s="17"/>
    </row>
    <row r="11" spans="1:9" x14ac:dyDescent="0.15">
      <c r="A11" s="9"/>
      <c r="B11" s="9"/>
      <c r="C11" s="9"/>
      <c r="D11" s="9"/>
      <c r="E11" s="9"/>
      <c r="F11" s="9"/>
      <c r="G11" s="9"/>
      <c r="H11" s="9"/>
      <c r="I11" s="9"/>
    </row>
    <row r="12" spans="1:9" x14ac:dyDescent="0.15">
      <c r="A12" s="5" t="s">
        <v>101</v>
      </c>
      <c r="D12" s="17" t="s">
        <v>159</v>
      </c>
    </row>
    <row r="15" spans="1:9" x14ac:dyDescent="0.15">
      <c r="A15" s="9"/>
      <c r="B15" s="9"/>
      <c r="C15" s="9"/>
      <c r="D15" s="9"/>
      <c r="E15" s="9"/>
      <c r="F15" s="9"/>
      <c r="G15" s="9"/>
      <c r="H15" s="9"/>
      <c r="I15" s="9"/>
    </row>
    <row r="16" spans="1:9" x14ac:dyDescent="0.15">
      <c r="A16" s="5" t="s">
        <v>106</v>
      </c>
    </row>
    <row r="17" spans="1:9" x14ac:dyDescent="0.15">
      <c r="A17" t="s">
        <v>160</v>
      </c>
    </row>
    <row r="19" spans="1:9" x14ac:dyDescent="0.15">
      <c r="A19" s="9"/>
      <c r="B19" s="9"/>
      <c r="C19" s="9"/>
      <c r="D19" s="9"/>
      <c r="E19" s="9"/>
      <c r="F19" s="9"/>
      <c r="G19" s="9"/>
      <c r="H19" s="9"/>
      <c r="I19" s="9"/>
    </row>
    <row r="20" spans="1:9" x14ac:dyDescent="0.15">
      <c r="A20" s="5" t="s">
        <v>108</v>
      </c>
    </row>
    <row r="21" spans="1:9" x14ac:dyDescent="0.15">
      <c r="A21" t="s">
        <v>161</v>
      </c>
    </row>
    <row r="22" spans="1:9" x14ac:dyDescent="0.15">
      <c r="A22" s="9"/>
      <c r="B22" s="9"/>
      <c r="C22" s="9"/>
      <c r="D22" s="9"/>
      <c r="E22" s="9"/>
      <c r="F22" s="9"/>
      <c r="G22" s="9"/>
      <c r="H22" s="9"/>
      <c r="I22" s="9"/>
    </row>
    <row r="23" spans="1:9" x14ac:dyDescent="0.15">
      <c r="A23" s="10" t="s">
        <v>111</v>
      </c>
    </row>
    <row r="24" spans="1:9" x14ac:dyDescent="0.15">
      <c r="A24" s="43" t="s">
        <v>162</v>
      </c>
    </row>
    <row r="25" spans="1:9" x14ac:dyDescent="0.15">
      <c r="A25" s="25" t="s">
        <v>163</v>
      </c>
    </row>
    <row r="26" spans="1:9" x14ac:dyDescent="0.15">
      <c r="A26" s="17" t="s">
        <v>164</v>
      </c>
    </row>
    <row r="27" spans="1:9" x14ac:dyDescent="0.15">
      <c r="A27" s="10" t="s">
        <v>165</v>
      </c>
    </row>
    <row r="28" spans="1:9" x14ac:dyDescent="0.15">
      <c r="A28" s="10" t="s">
        <v>166</v>
      </c>
    </row>
    <row r="29" spans="1:9" x14ac:dyDescent="0.15">
      <c r="A29" t="s">
        <v>167</v>
      </c>
    </row>
    <row r="33" spans="1:5" ht="14" thickBot="1" x14ac:dyDescent="0.2">
      <c r="E33" s="1" t="s">
        <v>168</v>
      </c>
    </row>
    <row r="34" spans="1:5" ht="49" thickBot="1" x14ac:dyDescent="0.2">
      <c r="A34" s="11" t="s">
        <v>169</v>
      </c>
      <c r="B34" s="12" t="s">
        <v>170</v>
      </c>
      <c r="C34" s="12" t="s">
        <v>171</v>
      </c>
      <c r="D34" s="12" t="s">
        <v>172</v>
      </c>
    </row>
    <row r="35" spans="1:5" ht="65" thickBot="1" x14ac:dyDescent="0.2">
      <c r="A35" s="13" t="s">
        <v>173</v>
      </c>
      <c r="B35" s="14">
        <v>2877</v>
      </c>
      <c r="C35" s="15" t="s">
        <v>174</v>
      </c>
      <c r="D35" s="15" t="s">
        <v>175</v>
      </c>
    </row>
    <row r="36" spans="1:5" ht="33" thickBot="1" x14ac:dyDescent="0.2">
      <c r="A36" s="13" t="s">
        <v>176</v>
      </c>
      <c r="B36" s="14">
        <v>7000</v>
      </c>
      <c r="C36" s="15" t="s">
        <v>177</v>
      </c>
      <c r="D36" s="15" t="s">
        <v>178</v>
      </c>
    </row>
    <row r="37" spans="1:5" ht="65" thickBot="1" x14ac:dyDescent="0.2">
      <c r="A37" s="13" t="s">
        <v>179</v>
      </c>
      <c r="B37" s="14">
        <v>9262</v>
      </c>
      <c r="C37" s="15" t="s">
        <v>174</v>
      </c>
      <c r="D37" s="15" t="s">
        <v>180</v>
      </c>
    </row>
    <row r="38" spans="1:5" ht="113" thickBot="1" x14ac:dyDescent="0.2">
      <c r="A38" s="13" t="s">
        <v>181</v>
      </c>
      <c r="B38" s="14">
        <v>11620</v>
      </c>
      <c r="C38" s="15" t="s">
        <v>182</v>
      </c>
      <c r="D38" s="15" t="s">
        <v>183</v>
      </c>
    </row>
    <row r="39" spans="1:5" ht="145" thickBot="1" x14ac:dyDescent="0.2">
      <c r="A39" s="13" t="s">
        <v>184</v>
      </c>
      <c r="B39" s="14">
        <v>9920</v>
      </c>
      <c r="C39" s="15" t="s">
        <v>185</v>
      </c>
      <c r="D39" s="15" t="s">
        <v>186</v>
      </c>
    </row>
    <row r="40" spans="1:5" ht="33" thickBot="1" x14ac:dyDescent="0.2">
      <c r="A40" s="13" t="s">
        <v>187</v>
      </c>
      <c r="B40" s="14">
        <v>1050</v>
      </c>
      <c r="C40" s="15" t="s">
        <v>174</v>
      </c>
      <c r="D40" s="15" t="s">
        <v>188</v>
      </c>
    </row>
    <row r="41" spans="1:5" ht="97" thickBot="1" x14ac:dyDescent="0.2">
      <c r="A41" s="13" t="s">
        <v>189</v>
      </c>
      <c r="B41" s="14">
        <v>12500</v>
      </c>
      <c r="C41" s="15" t="s">
        <v>190</v>
      </c>
      <c r="D41" s="15" t="s">
        <v>191</v>
      </c>
    </row>
    <row r="42" spans="1:5" ht="81" thickBot="1" x14ac:dyDescent="0.2">
      <c r="A42" s="13" t="s">
        <v>192</v>
      </c>
      <c r="B42" s="14">
        <v>5000</v>
      </c>
      <c r="C42" s="15" t="s">
        <v>193</v>
      </c>
      <c r="D42" s="15" t="s">
        <v>194</v>
      </c>
    </row>
    <row r="43" spans="1:5" ht="81" thickBot="1" x14ac:dyDescent="0.2">
      <c r="A43" s="13" t="s">
        <v>195</v>
      </c>
      <c r="B43" s="14">
        <v>10000</v>
      </c>
      <c r="C43" s="15" t="s">
        <v>196</v>
      </c>
      <c r="D43" s="15" t="s">
        <v>197</v>
      </c>
    </row>
  </sheetData>
  <pageMargins left="0.7" right="0.7" top="0.75" bottom="0.75" header="0.3" footer="0.3"/>
  <pageSetup paperSize="9" orientation="portrait" r:id="rId1"/>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A92EBF-4330-418C-9084-882CDE4FCA33}">
  <dimension ref="A1:I32"/>
  <sheetViews>
    <sheetView workbookViewId="0">
      <selection activeCell="B6" sqref="B6"/>
    </sheetView>
  </sheetViews>
  <sheetFormatPr baseColWidth="10" defaultColWidth="8.83203125" defaultRowHeight="13" x14ac:dyDescent="0.15"/>
  <cols>
    <col min="1" max="1" width="37.33203125" customWidth="1"/>
    <col min="2" max="2" width="9.33203125" bestFit="1" customWidth="1"/>
    <col min="4" max="9" width="19.33203125" customWidth="1"/>
  </cols>
  <sheetData>
    <row r="1" spans="1:9" ht="18" x14ac:dyDescent="0.2">
      <c r="A1" s="4" t="s">
        <v>198</v>
      </c>
      <c r="D1" s="5">
        <v>2023</v>
      </c>
      <c r="E1" s="5">
        <v>2023</v>
      </c>
      <c r="F1" s="5">
        <v>2025</v>
      </c>
      <c r="G1" s="5">
        <v>2025</v>
      </c>
      <c r="H1" s="5">
        <v>2030</v>
      </c>
      <c r="I1" s="5">
        <v>2030</v>
      </c>
    </row>
    <row r="2" spans="1:9" s="8" customFormat="1" x14ac:dyDescent="0.15">
      <c r="A2" s="5" t="s">
        <v>87</v>
      </c>
      <c r="B2" s="5" t="s">
        <v>88</v>
      </c>
      <c r="C2" s="5" t="s">
        <v>89</v>
      </c>
      <c r="D2" s="5" t="s">
        <v>72</v>
      </c>
      <c r="E2" s="5" t="s">
        <v>73</v>
      </c>
      <c r="F2" s="5" t="s">
        <v>72</v>
      </c>
      <c r="G2" s="5" t="s">
        <v>73</v>
      </c>
      <c r="H2" s="5" t="s">
        <v>72</v>
      </c>
      <c r="I2" s="5" t="s">
        <v>73</v>
      </c>
    </row>
    <row r="3" spans="1:9" ht="14" x14ac:dyDescent="0.15">
      <c r="A3" s="3" t="s">
        <v>79</v>
      </c>
      <c r="B3" s="27">
        <v>2000</v>
      </c>
    </row>
    <row r="4" spans="1:9" ht="28" x14ac:dyDescent="0.15">
      <c r="A4" s="3" t="s">
        <v>199</v>
      </c>
      <c r="F4">
        <f>0.5*5*200</f>
        <v>500</v>
      </c>
      <c r="H4">
        <f>0.35*55*200</f>
        <v>3850</v>
      </c>
    </row>
    <row r="5" spans="1:9" x14ac:dyDescent="0.15">
      <c r="A5" s="29" t="s">
        <v>2</v>
      </c>
      <c r="B5" s="34">
        <v>1000</v>
      </c>
      <c r="C5" s="29"/>
      <c r="D5" s="34">
        <f>B5</f>
        <v>1000</v>
      </c>
      <c r="E5" s="29"/>
      <c r="F5" s="34">
        <f>$B$5+F4</f>
        <v>1500</v>
      </c>
      <c r="G5" s="34"/>
      <c r="H5" s="34">
        <f>$B$5+H4</f>
        <v>4850</v>
      </c>
      <c r="I5" s="34">
        <f>$B$5+I4</f>
        <v>1000</v>
      </c>
    </row>
    <row r="6" spans="1:9" x14ac:dyDescent="0.15">
      <c r="A6" s="5" t="s">
        <v>95</v>
      </c>
      <c r="B6" s="27">
        <v>2000</v>
      </c>
      <c r="C6" s="5"/>
    </row>
    <row r="8" spans="1:9" x14ac:dyDescent="0.15">
      <c r="A8" s="9"/>
      <c r="B8" s="9"/>
      <c r="C8" s="9"/>
      <c r="D8" s="9"/>
      <c r="E8" s="9"/>
      <c r="F8" s="9"/>
      <c r="G8" s="9"/>
      <c r="H8" s="9"/>
      <c r="I8" s="9"/>
    </row>
    <row r="9" spans="1:9" x14ac:dyDescent="0.15">
      <c r="A9" s="5" t="s">
        <v>101</v>
      </c>
    </row>
    <row r="12" spans="1:9" x14ac:dyDescent="0.15">
      <c r="A12" s="9"/>
      <c r="B12" s="9"/>
      <c r="C12" s="9"/>
      <c r="D12" s="9"/>
      <c r="E12" s="9"/>
      <c r="F12" s="9"/>
      <c r="G12" s="9"/>
      <c r="H12" s="9"/>
      <c r="I12" s="9"/>
    </row>
    <row r="13" spans="1:9" x14ac:dyDescent="0.15">
      <c r="A13" s="5" t="s">
        <v>106</v>
      </c>
    </row>
    <row r="15" spans="1:9" x14ac:dyDescent="0.15">
      <c r="A15" s="17"/>
    </row>
    <row r="16" spans="1:9" x14ac:dyDescent="0.15">
      <c r="A16" s="9"/>
      <c r="B16" s="9"/>
      <c r="C16" s="9"/>
      <c r="D16" s="9"/>
      <c r="E16" s="9"/>
      <c r="F16" s="9"/>
      <c r="G16" s="9"/>
      <c r="H16" s="9"/>
      <c r="I16" s="9"/>
    </row>
    <row r="17" spans="1:9" x14ac:dyDescent="0.15">
      <c r="A17" s="5" t="s">
        <v>108</v>
      </c>
    </row>
    <row r="18" spans="1:9" x14ac:dyDescent="0.15">
      <c r="A18" t="s">
        <v>200</v>
      </c>
    </row>
    <row r="19" spans="1:9" x14ac:dyDescent="0.15">
      <c r="A19" s="21" t="s">
        <v>201</v>
      </c>
    </row>
    <row r="20" spans="1:9" x14ac:dyDescent="0.15">
      <c r="A20" t="s">
        <v>202</v>
      </c>
    </row>
    <row r="22" spans="1:9" x14ac:dyDescent="0.15">
      <c r="A22" s="9"/>
      <c r="B22" s="9"/>
      <c r="C22" s="9"/>
      <c r="D22" s="9"/>
      <c r="E22" s="9"/>
      <c r="F22" s="9"/>
      <c r="G22" s="9"/>
      <c r="H22" s="9"/>
      <c r="I22" s="9"/>
    </row>
    <row r="23" spans="1:9" x14ac:dyDescent="0.15">
      <c r="A23" s="10" t="s">
        <v>111</v>
      </c>
    </row>
    <row r="24" spans="1:9" x14ac:dyDescent="0.15">
      <c r="A24" s="51" t="s">
        <v>203</v>
      </c>
    </row>
    <row r="25" spans="1:9" x14ac:dyDescent="0.15">
      <c r="A25" s="51" t="s">
        <v>204</v>
      </c>
    </row>
    <row r="26" spans="1:9" x14ac:dyDescent="0.15">
      <c r="A26" s="17" t="s">
        <v>205</v>
      </c>
    </row>
    <row r="27" spans="1:9" x14ac:dyDescent="0.15">
      <c r="A27" s="17" t="s">
        <v>206</v>
      </c>
    </row>
    <row r="28" spans="1:9" x14ac:dyDescent="0.15">
      <c r="A28" s="1" t="s">
        <v>207</v>
      </c>
    </row>
    <row r="29" spans="1:9" x14ac:dyDescent="0.15">
      <c r="A29" t="s">
        <v>208</v>
      </c>
    </row>
    <row r="30" spans="1:9" x14ac:dyDescent="0.15">
      <c r="A30" t="s">
        <v>209</v>
      </c>
    </row>
    <row r="31" spans="1:9" x14ac:dyDescent="0.15">
      <c r="A31" t="s">
        <v>210</v>
      </c>
    </row>
    <row r="32" spans="1:9" x14ac:dyDescent="0.15">
      <c r="A32" s="17" t="s">
        <v>211</v>
      </c>
    </row>
  </sheetData>
  <pageMargins left="0.7" right="0.7" top="0.75" bottom="0.75" header="0.3" footer="0.3"/>
  <pageSetup paperSize="9"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75677E-2C73-4CCD-BD14-4ED2C593E9D7}">
  <dimension ref="A1:I31"/>
  <sheetViews>
    <sheetView workbookViewId="0">
      <selection activeCell="C13" sqref="C13"/>
    </sheetView>
  </sheetViews>
  <sheetFormatPr baseColWidth="10" defaultColWidth="8.83203125" defaultRowHeight="13" x14ac:dyDescent="0.15"/>
  <cols>
    <col min="1" max="1" width="26.6640625" customWidth="1"/>
    <col min="2" max="2" width="19.33203125" customWidth="1"/>
    <col min="3" max="3" width="12.6640625" bestFit="1" customWidth="1"/>
    <col min="4" max="9" width="20.5" customWidth="1"/>
  </cols>
  <sheetData>
    <row r="1" spans="1:9" ht="18" x14ac:dyDescent="0.2">
      <c r="A1" s="4" t="s">
        <v>212</v>
      </c>
      <c r="D1" s="5">
        <v>2023</v>
      </c>
      <c r="E1" s="5">
        <v>2023</v>
      </c>
      <c r="F1" s="5">
        <v>2025</v>
      </c>
      <c r="G1" s="5">
        <v>2025</v>
      </c>
      <c r="H1" s="5">
        <v>2030</v>
      </c>
      <c r="I1" s="5">
        <v>2030</v>
      </c>
    </row>
    <row r="2" spans="1:9" s="8" customFormat="1" x14ac:dyDescent="0.15">
      <c r="A2" s="5" t="s">
        <v>87</v>
      </c>
      <c r="B2" s="5" t="s">
        <v>88</v>
      </c>
      <c r="C2" s="5" t="s">
        <v>89</v>
      </c>
      <c r="D2" s="5" t="s">
        <v>72</v>
      </c>
      <c r="E2" s="5" t="s">
        <v>73</v>
      </c>
      <c r="F2" s="5" t="s">
        <v>72</v>
      </c>
      <c r="G2" s="5" t="s">
        <v>73</v>
      </c>
      <c r="H2" s="5" t="s">
        <v>72</v>
      </c>
      <c r="I2" s="5" t="s">
        <v>73</v>
      </c>
    </row>
    <row r="3" spans="1:9" ht="28" x14ac:dyDescent="0.15">
      <c r="A3" s="3" t="s">
        <v>213</v>
      </c>
    </row>
    <row r="4" spans="1:9" x14ac:dyDescent="0.15">
      <c r="A4" t="s">
        <v>214</v>
      </c>
      <c r="H4" s="40">
        <f>B24</f>
        <v>0</v>
      </c>
      <c r="I4" s="40">
        <f>B24</f>
        <v>0</v>
      </c>
    </row>
    <row r="5" spans="1:9" x14ac:dyDescent="0.15">
      <c r="A5" s="9"/>
      <c r="B5" s="9"/>
      <c r="C5" s="9"/>
      <c r="D5" s="9" t="s">
        <v>215</v>
      </c>
      <c r="E5" s="9"/>
      <c r="F5" s="9"/>
      <c r="G5" s="9" t="s">
        <v>216</v>
      </c>
      <c r="H5" s="9"/>
      <c r="I5" s="9"/>
    </row>
    <row r="6" spans="1:9" x14ac:dyDescent="0.15">
      <c r="A6" s="5" t="s">
        <v>217</v>
      </c>
      <c r="B6">
        <v>1285</v>
      </c>
      <c r="C6" s="5"/>
    </row>
    <row r="7" spans="1:9" ht="16" x14ac:dyDescent="0.15">
      <c r="A7" s="24" t="s">
        <v>218</v>
      </c>
    </row>
    <row r="8" spans="1:9" x14ac:dyDescent="0.15">
      <c r="A8" s="9"/>
      <c r="B8" s="9"/>
      <c r="C8" s="9"/>
      <c r="D8" s="9"/>
      <c r="E8" s="9"/>
      <c r="F8" s="9"/>
      <c r="G8" s="9"/>
      <c r="H8" s="9"/>
      <c r="I8" s="9"/>
    </row>
    <row r="9" spans="1:9" x14ac:dyDescent="0.15">
      <c r="A9" s="5" t="s">
        <v>219</v>
      </c>
      <c r="B9">
        <v>2500</v>
      </c>
    </row>
    <row r="12" spans="1:9" x14ac:dyDescent="0.15">
      <c r="A12" s="9"/>
      <c r="B12" s="9"/>
      <c r="C12" s="9"/>
      <c r="D12" s="9"/>
      <c r="E12" s="9"/>
      <c r="F12" s="9"/>
      <c r="G12" s="9"/>
      <c r="H12" s="9"/>
      <c r="I12" s="9"/>
    </row>
    <row r="13" spans="1:9" x14ac:dyDescent="0.15">
      <c r="A13" s="5" t="s">
        <v>106</v>
      </c>
    </row>
    <row r="15" spans="1:9" x14ac:dyDescent="0.15">
      <c r="A15" s="17"/>
    </row>
    <row r="16" spans="1:9" x14ac:dyDescent="0.15">
      <c r="A16" s="9"/>
      <c r="B16" s="9"/>
      <c r="C16" s="9"/>
      <c r="D16" s="9"/>
      <c r="E16" s="9"/>
      <c r="F16" s="9"/>
      <c r="G16" s="9"/>
      <c r="H16" s="9"/>
      <c r="I16" s="9"/>
    </row>
    <row r="17" spans="1:9" x14ac:dyDescent="0.15">
      <c r="A17" s="5" t="s">
        <v>108</v>
      </c>
    </row>
    <row r="18" spans="1:9" x14ac:dyDescent="0.15">
      <c r="A18" t="s">
        <v>220</v>
      </c>
    </row>
    <row r="19" spans="1:9" x14ac:dyDescent="0.15">
      <c r="A19" s="9"/>
      <c r="B19" s="9"/>
      <c r="C19" s="9"/>
      <c r="D19" s="9"/>
      <c r="E19" s="9"/>
      <c r="F19" s="9"/>
      <c r="G19" s="9"/>
      <c r="H19" s="9"/>
      <c r="I19" s="9"/>
    </row>
    <row r="20" spans="1:9" x14ac:dyDescent="0.15">
      <c r="A20" s="10" t="s">
        <v>111</v>
      </c>
    </row>
    <row r="21" spans="1:9" ht="17" x14ac:dyDescent="0.2">
      <c r="A21" s="56" t="s">
        <v>221</v>
      </c>
      <c r="B21" s="17"/>
      <c r="C21" s="17"/>
      <c r="D21" t="s">
        <v>222</v>
      </c>
      <c r="E21" s="27"/>
    </row>
    <row r="22" spans="1:9" x14ac:dyDescent="0.15">
      <c r="A22" s="25" t="s">
        <v>223</v>
      </c>
      <c r="B22" s="17"/>
      <c r="C22" s="17"/>
      <c r="D22" t="s">
        <v>224</v>
      </c>
    </row>
    <row r="23" spans="1:9" x14ac:dyDescent="0.15">
      <c r="A23" s="25" t="s">
        <v>225</v>
      </c>
      <c r="B23" s="17"/>
      <c r="C23" s="17"/>
      <c r="D23" s="40" t="s">
        <v>226</v>
      </c>
      <c r="E23" s="40"/>
    </row>
    <row r="24" spans="1:9" x14ac:dyDescent="0.15">
      <c r="A24" s="25" t="s">
        <v>227</v>
      </c>
      <c r="B24" s="57"/>
      <c r="C24" s="8"/>
    </row>
    <row r="25" spans="1:9" x14ac:dyDescent="0.15">
      <c r="A25" s="54"/>
      <c r="B25" s="53"/>
      <c r="C25" s="55"/>
    </row>
    <row r="26" spans="1:9" x14ac:dyDescent="0.15">
      <c r="A26" s="1" t="s">
        <v>68</v>
      </c>
    </row>
    <row r="27" spans="1:9" x14ac:dyDescent="0.15">
      <c r="A27" s="1" t="s">
        <v>228</v>
      </c>
    </row>
    <row r="28" spans="1:9" x14ac:dyDescent="0.15">
      <c r="A28" t="s">
        <v>229</v>
      </c>
    </row>
    <row r="29" spans="1:9" x14ac:dyDescent="0.15">
      <c r="A29" t="s">
        <v>230</v>
      </c>
    </row>
    <row r="30" spans="1:9" x14ac:dyDescent="0.15">
      <c r="A30" t="s">
        <v>231</v>
      </c>
    </row>
    <row r="31" spans="1:9" x14ac:dyDescent="0.15">
      <c r="A31" t="s">
        <v>232</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87F0AB-27D2-423C-9CEB-9AF5BFD6795B}">
  <dimension ref="A1:I27"/>
  <sheetViews>
    <sheetView workbookViewId="0">
      <selection activeCell="I40" sqref="I40"/>
    </sheetView>
  </sheetViews>
  <sheetFormatPr baseColWidth="10" defaultColWidth="8.83203125" defaultRowHeight="13" x14ac:dyDescent="0.15"/>
  <cols>
    <col min="1" max="1" width="29.5" customWidth="1"/>
    <col min="2" max="3" width="13.33203125" customWidth="1"/>
    <col min="4" max="9" width="18.33203125" customWidth="1"/>
  </cols>
  <sheetData>
    <row r="1" spans="1:9" ht="18" x14ac:dyDescent="0.2">
      <c r="A1" s="4" t="s">
        <v>233</v>
      </c>
      <c r="D1" s="5">
        <v>2023</v>
      </c>
      <c r="E1" s="5">
        <v>2023</v>
      </c>
      <c r="F1" s="5">
        <v>2025</v>
      </c>
      <c r="G1" s="5">
        <v>2025</v>
      </c>
      <c r="H1" s="5">
        <v>2030</v>
      </c>
      <c r="I1" s="5">
        <v>2030</v>
      </c>
    </row>
    <row r="2" spans="1:9" s="8" customFormat="1" x14ac:dyDescent="0.15">
      <c r="A2" s="5" t="s">
        <v>2</v>
      </c>
      <c r="B2" s="5" t="s">
        <v>88</v>
      </c>
      <c r="C2" s="5" t="s">
        <v>89</v>
      </c>
      <c r="D2" s="5" t="s">
        <v>72</v>
      </c>
      <c r="E2" s="5" t="s">
        <v>73</v>
      </c>
      <c r="F2" s="5" t="s">
        <v>72</v>
      </c>
      <c r="G2" s="5" t="s">
        <v>73</v>
      </c>
      <c r="H2" s="5" t="s">
        <v>72</v>
      </c>
      <c r="I2" s="5" t="s">
        <v>73</v>
      </c>
    </row>
    <row r="3" spans="1:9" x14ac:dyDescent="0.15">
      <c r="A3" t="s">
        <v>155</v>
      </c>
    </row>
    <row r="5" spans="1:9" x14ac:dyDescent="0.15">
      <c r="A5" s="9"/>
      <c r="B5" s="9"/>
      <c r="C5" s="9"/>
      <c r="D5" s="9"/>
      <c r="E5" s="9"/>
      <c r="F5" s="9"/>
      <c r="G5" s="9"/>
      <c r="H5" s="9"/>
      <c r="I5" s="9"/>
    </row>
    <row r="6" spans="1:9" x14ac:dyDescent="0.15">
      <c r="A6" s="5" t="s">
        <v>95</v>
      </c>
      <c r="B6" s="8" t="s">
        <v>83</v>
      </c>
      <c r="C6" s="5"/>
    </row>
    <row r="8" spans="1:9" x14ac:dyDescent="0.15">
      <c r="A8" s="9"/>
      <c r="B8" s="9"/>
      <c r="C8" s="9"/>
      <c r="D8" s="9"/>
      <c r="E8" s="9"/>
      <c r="F8" s="9"/>
      <c r="G8" s="9"/>
      <c r="H8" s="9"/>
      <c r="I8" s="9"/>
    </row>
    <row r="9" spans="1:9" x14ac:dyDescent="0.15">
      <c r="A9" s="5" t="s">
        <v>101</v>
      </c>
    </row>
    <row r="12" spans="1:9" x14ac:dyDescent="0.15">
      <c r="A12" s="9"/>
      <c r="B12" s="9"/>
      <c r="C12" s="9"/>
      <c r="D12" s="9"/>
      <c r="E12" s="9"/>
      <c r="F12" s="9"/>
      <c r="G12" s="9"/>
      <c r="H12" s="9"/>
      <c r="I12" s="9"/>
    </row>
    <row r="13" spans="1:9" x14ac:dyDescent="0.15">
      <c r="A13" s="5" t="s">
        <v>106</v>
      </c>
    </row>
    <row r="14" spans="1:9" x14ac:dyDescent="0.15">
      <c r="A14" t="s">
        <v>160</v>
      </c>
    </row>
    <row r="15" spans="1:9" x14ac:dyDescent="0.15">
      <c r="A15" s="9"/>
      <c r="B15" s="9"/>
      <c r="C15" s="9"/>
      <c r="D15" s="9"/>
      <c r="E15" s="9"/>
      <c r="F15" s="9"/>
      <c r="G15" s="9"/>
      <c r="H15" s="9"/>
      <c r="I15" s="9"/>
    </row>
    <row r="16" spans="1:9" x14ac:dyDescent="0.15">
      <c r="A16" s="5" t="s">
        <v>108</v>
      </c>
    </row>
    <row r="17" spans="1:9" x14ac:dyDescent="0.15">
      <c r="A17" t="s">
        <v>161</v>
      </c>
    </row>
    <row r="18" spans="1:9" x14ac:dyDescent="0.15">
      <c r="A18" s="9"/>
      <c r="B18" s="9"/>
      <c r="C18" s="9"/>
      <c r="D18" s="9"/>
      <c r="E18" s="9"/>
      <c r="F18" s="9"/>
      <c r="G18" s="9"/>
      <c r="H18" s="9"/>
      <c r="I18" s="9"/>
    </row>
    <row r="19" spans="1:9" x14ac:dyDescent="0.15">
      <c r="A19" s="10" t="s">
        <v>111</v>
      </c>
    </row>
    <row r="20" spans="1:9" x14ac:dyDescent="0.15">
      <c r="A20" s="16"/>
    </row>
    <row r="21" spans="1:9" x14ac:dyDescent="0.15">
      <c r="A21" s="16"/>
    </row>
    <row r="22" spans="1:9" x14ac:dyDescent="0.15">
      <c r="A22" s="16"/>
    </row>
    <row r="24" spans="1:9" x14ac:dyDescent="0.15">
      <c r="A24" s="18"/>
    </row>
    <row r="26" spans="1:9" x14ac:dyDescent="0.15">
      <c r="A26" s="19" t="s">
        <v>234</v>
      </c>
    </row>
    <row r="27" spans="1:9" x14ac:dyDescent="0.15">
      <c r="A27" s="18" t="s">
        <v>235</v>
      </c>
    </row>
  </sheetData>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40EDD0B356514D41AD0FCC6C061CFF7C" ma:contentTypeVersion="7" ma:contentTypeDescription="Een nieuw document maken." ma:contentTypeScope="" ma:versionID="1efb91ec4faad1fe1e6b902ab47990b3">
  <xsd:schema xmlns:xsd="http://www.w3.org/2001/XMLSchema" xmlns:xs="http://www.w3.org/2001/XMLSchema" xmlns:p="http://schemas.microsoft.com/office/2006/metadata/properties" xmlns:ns2="65d34a01-23b8-4ccf-a9d2-a40a6bef4fc2" targetNamespace="http://schemas.microsoft.com/office/2006/metadata/properties" ma:root="true" ma:fieldsID="b836e28f7d70571b1d2ae72dc63ab67b" ns2:_="">
    <xsd:import namespace="65d34a01-23b8-4ccf-a9d2-a40a6bef4fc2"/>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GenerationTime" minOccurs="0"/>
                <xsd:element ref="ns2:MediaServiceEventHashCode"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5d34a01-23b8-4ccf-a9d2-a40a6bef4fc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0B65D43F-05F8-40DE-B0A8-67240D41E49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5d34a01-23b8-4ccf-a9d2-a40a6bef4fc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E70A793-4920-40EF-ADD0-41278CD0B094}">
  <ds:schemaRefs>
    <ds:schemaRef ds:uri="http://schemas.microsoft.com/sharepoint/v3/contenttype/forms"/>
  </ds:schemaRefs>
</ds:datastoreItem>
</file>

<file path=customXml/itemProps3.xml><?xml version="1.0" encoding="utf-8"?>
<ds:datastoreItem xmlns:ds="http://schemas.openxmlformats.org/officeDocument/2006/customXml" ds:itemID="{599801E4-39AC-41DA-B633-786C5F2567FE}">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14</vt:i4>
      </vt:variant>
    </vt:vector>
  </HeadingPairs>
  <TitlesOfParts>
    <vt:vector size="14" baseType="lpstr">
      <vt:lpstr>Eerste conclusie</vt:lpstr>
      <vt:lpstr>Baseload</vt:lpstr>
      <vt:lpstr>Totaal vermogen</vt:lpstr>
      <vt:lpstr>Busremise</vt:lpstr>
      <vt:lpstr>Gemeente wagenpark</vt:lpstr>
      <vt:lpstr>Municipal Buildings</vt:lpstr>
      <vt:lpstr> sligro</vt:lpstr>
      <vt:lpstr> King&amp;#39;s drinks</vt:lpstr>
      <vt:lpstr> Curio</vt:lpstr>
      <vt:lpstr> Living Breburg</vt:lpstr>
      <vt:lpstr> And of course</vt:lpstr>
      <vt:lpstr> Bavel&amp;#39;s mountain</vt:lpstr>
      <vt:lpstr> Numbers scenarios</vt:lpstr>
      <vt:lpstr> Rules of thumb</vt:lpstr>
    </vt:vector>
  </TitlesOfParts>
  <Manager/>
  <Company>TBI</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Postmus, M.J. (Marianne)</dc:creator>
  <cp:keywords/>
  <dc:description/>
  <cp:lastModifiedBy>Anmol Soni</cp:lastModifiedBy>
  <cp:revision/>
  <dcterms:created xsi:type="dcterms:W3CDTF">2021-12-12T19:24:28Z</dcterms:created>
  <dcterms:modified xsi:type="dcterms:W3CDTF">2022-04-13T07:57:36Z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0x01010040EDD0B356514D41AD0FCC6C061CFF7C</vt:lpwstr>
  </property>
</Properties>
</file>