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mithhang/Documents/Y2_EMA/Method_prévsionelle/BNP_Paribas_Stock_Prediction/"/>
    </mc:Choice>
  </mc:AlternateContent>
  <xr:revisionPtr revIDLastSave="0" documentId="8_{15B5CAB6-E152-B141-97EA-0E66A95EA65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est_Seasonality" sheetId="4" r:id="rId1"/>
    <sheet name="Exponential_Smoothing" sheetId="5" r:id="rId2"/>
    <sheet name="Feuil5 (2)" sheetId="8" r:id="rId3"/>
    <sheet name="Feuil5" sheetId="6" r:id="rId4"/>
    <sheet name="Feuil1" sheetId="1" r:id="rId5"/>
    <sheet name="Feuil2" sheetId="2" r:id="rId6"/>
    <sheet name="Holt-Winter Additif" sheetId="3" r:id="rId7"/>
  </sheets>
  <definedNames>
    <definedName name="solver_adj" localSheetId="3" hidden="1">Feuil5!$K$15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Feuil5!$N$15</definedName>
    <definedName name="solver_lhs2" localSheetId="3" hidden="1">Feuil5!$N$15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opt" localSheetId="3" hidden="1">Feuil5!$L$19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1</definedName>
    <definedName name="solver_rhs2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8" l="1"/>
  <c r="D30" i="8"/>
  <c r="U19" i="8"/>
  <c r="P10" i="8"/>
  <c r="P9" i="8"/>
  <c r="S45" i="8"/>
  <c r="AP7" i="8"/>
  <c r="AP8" i="8"/>
  <c r="AP9" i="8"/>
  <c r="AP10" i="8"/>
  <c r="AP11" i="8"/>
  <c r="AP12" i="8"/>
  <c r="AP13" i="8"/>
  <c r="AP14" i="8"/>
  <c r="AP15" i="8"/>
  <c r="AP6" i="8"/>
  <c r="AO7" i="8"/>
  <c r="AO8" i="8"/>
  <c r="AO9" i="8"/>
  <c r="AO10" i="8"/>
  <c r="AO11" i="8"/>
  <c r="AO12" i="8"/>
  <c r="AO13" i="8"/>
  <c r="AO14" i="8"/>
  <c r="AO15" i="8"/>
  <c r="AO6" i="8"/>
  <c r="AN7" i="8"/>
  <c r="AN8" i="8"/>
  <c r="AN9" i="8"/>
  <c r="AN10" i="8"/>
  <c r="AN11" i="8"/>
  <c r="AN12" i="8"/>
  <c r="AN13" i="8"/>
  <c r="AN14" i="8"/>
  <c r="AN15" i="8"/>
  <c r="AN6" i="8"/>
  <c r="AL7" i="8"/>
  <c r="AM7" i="8"/>
  <c r="AL8" i="8"/>
  <c r="AM8" i="8"/>
  <c r="AL9" i="8"/>
  <c r="AM9" i="8"/>
  <c r="AL10" i="8"/>
  <c r="AM10" i="8"/>
  <c r="AL11" i="8"/>
  <c r="AM11" i="8"/>
  <c r="AL12" i="8"/>
  <c r="AM12" i="8"/>
  <c r="AL13" i="8"/>
  <c r="AM13" i="8"/>
  <c r="AL14" i="8"/>
  <c r="AM14" i="8"/>
  <c r="AL15" i="8"/>
  <c r="AM15" i="8"/>
  <c r="AM6" i="8"/>
  <c r="AM5" i="8"/>
  <c r="AL6" i="8"/>
  <c r="AL5" i="8"/>
  <c r="AK15" i="8"/>
  <c r="AK14" i="8"/>
  <c r="AK13" i="8"/>
  <c r="AK12" i="8"/>
  <c r="AK11" i="8"/>
  <c r="AK10" i="8"/>
  <c r="AK9" i="8"/>
  <c r="AK8" i="8"/>
  <c r="AK7" i="8"/>
  <c r="AK6" i="8"/>
  <c r="AK5" i="8"/>
  <c r="Q5" i="8"/>
  <c r="Q5" i="6"/>
  <c r="AE20" i="8"/>
  <c r="AD20" i="8"/>
  <c r="AC20" i="8"/>
  <c r="AB20" i="8"/>
  <c r="AA20" i="8"/>
  <c r="Z20" i="8"/>
  <c r="Y20" i="8"/>
  <c r="X20" i="8"/>
  <c r="W20" i="8"/>
  <c r="V20" i="8"/>
  <c r="U20" i="8"/>
  <c r="T20" i="8"/>
  <c r="P8" i="8"/>
  <c r="N4" i="8"/>
  <c r="M4" i="8"/>
  <c r="L4" i="8"/>
  <c r="K4" i="8"/>
  <c r="J4" i="8"/>
  <c r="I4" i="8"/>
  <c r="H4" i="8"/>
  <c r="G4" i="8"/>
  <c r="F4" i="8"/>
  <c r="E4" i="8"/>
  <c r="D4" i="8"/>
  <c r="C4" i="8"/>
  <c r="J9" i="6"/>
  <c r="M5" i="6"/>
  <c r="G31" i="4" a="1"/>
  <c r="G31" i="4"/>
  <c r="U10" i="4"/>
  <c r="D50" i="4"/>
  <c r="E50" i="4"/>
  <c r="F50" i="4"/>
  <c r="G50" i="4"/>
  <c r="H50" i="4"/>
  <c r="I50" i="4"/>
  <c r="J50" i="4"/>
  <c r="K50" i="4"/>
  <c r="L50" i="4"/>
  <c r="M50" i="4"/>
  <c r="N50" i="4"/>
  <c r="C50" i="4"/>
  <c r="K49" i="4"/>
  <c r="L49" i="4"/>
  <c r="M49" i="4"/>
  <c r="N49" i="4"/>
  <c r="D49" i="4"/>
  <c r="E49" i="4"/>
  <c r="F49" i="4"/>
  <c r="G49" i="4"/>
  <c r="H49" i="4"/>
  <c r="I49" i="4"/>
  <c r="J49" i="4"/>
  <c r="C49" i="4"/>
  <c r="H34" i="4"/>
  <c r="H32" i="4"/>
  <c r="R37" i="4" s="1"/>
  <c r="H31" i="4"/>
  <c r="C4" i="6"/>
  <c r="D4" i="6"/>
  <c r="E4" i="6"/>
  <c r="F4" i="6"/>
  <c r="G4" i="6"/>
  <c r="H4" i="6"/>
  <c r="I4" i="6"/>
  <c r="J4" i="6"/>
  <c r="K4" i="6"/>
  <c r="L4" i="6"/>
  <c r="M4" i="6"/>
  <c r="N4" i="6"/>
  <c r="U4" i="6"/>
  <c r="V4" i="6"/>
  <c r="W4" i="6"/>
  <c r="X4" i="6"/>
  <c r="Y4" i="6"/>
  <c r="Z4" i="6"/>
  <c r="AA4" i="6"/>
  <c r="AB4" i="6"/>
  <c r="AC4" i="6"/>
  <c r="AD4" i="6"/>
  <c r="AE4" i="6"/>
  <c r="C5" i="6"/>
  <c r="D5" i="6"/>
  <c r="E5" i="6"/>
  <c r="F5" i="6"/>
  <c r="G5" i="6"/>
  <c r="H5" i="6"/>
  <c r="I5" i="6"/>
  <c r="J5" i="6"/>
  <c r="K5" i="6"/>
  <c r="L5" i="6"/>
  <c r="N5" i="6"/>
  <c r="U5" i="6"/>
  <c r="V5" i="6"/>
  <c r="W5" i="6"/>
  <c r="X5" i="6"/>
  <c r="Y5" i="6"/>
  <c r="Z5" i="6"/>
  <c r="AA5" i="6"/>
  <c r="AB5" i="6"/>
  <c r="AC5" i="6"/>
  <c r="AD5" i="6"/>
  <c r="AE5" i="6"/>
  <c r="C6" i="6"/>
  <c r="D6" i="6"/>
  <c r="E6" i="6"/>
  <c r="F6" i="6"/>
  <c r="G6" i="6"/>
  <c r="H6" i="6"/>
  <c r="I6" i="6"/>
  <c r="J6" i="6"/>
  <c r="K6" i="6"/>
  <c r="L6" i="6"/>
  <c r="M6" i="6"/>
  <c r="N6" i="6"/>
  <c r="U6" i="6"/>
  <c r="V6" i="6"/>
  <c r="W6" i="6"/>
  <c r="X6" i="6"/>
  <c r="Y6" i="6"/>
  <c r="Z6" i="6"/>
  <c r="AA6" i="6"/>
  <c r="AB6" i="6"/>
  <c r="AC6" i="6"/>
  <c r="AD6" i="6"/>
  <c r="AE6" i="6"/>
  <c r="C7" i="6"/>
  <c r="D7" i="6"/>
  <c r="E7" i="6"/>
  <c r="F7" i="6"/>
  <c r="G7" i="6"/>
  <c r="H7" i="6"/>
  <c r="I7" i="6"/>
  <c r="J7" i="6"/>
  <c r="K7" i="6"/>
  <c r="L7" i="6"/>
  <c r="M7" i="6"/>
  <c r="N7" i="6"/>
  <c r="U7" i="6"/>
  <c r="V7" i="6"/>
  <c r="W7" i="6"/>
  <c r="X7" i="6"/>
  <c r="Y7" i="6"/>
  <c r="Z7" i="6"/>
  <c r="AA7" i="6"/>
  <c r="AB7" i="6"/>
  <c r="AC7" i="6"/>
  <c r="AD7" i="6"/>
  <c r="AE7" i="6"/>
  <c r="C8" i="6"/>
  <c r="D8" i="6"/>
  <c r="E8" i="6"/>
  <c r="F8" i="6"/>
  <c r="G8" i="6"/>
  <c r="H8" i="6"/>
  <c r="I8" i="6"/>
  <c r="J8" i="6"/>
  <c r="K8" i="6"/>
  <c r="L8" i="6"/>
  <c r="M8" i="6"/>
  <c r="N8" i="6"/>
  <c r="U8" i="6"/>
  <c r="V8" i="6"/>
  <c r="W8" i="6"/>
  <c r="X8" i="6"/>
  <c r="Y8" i="6"/>
  <c r="Z8" i="6"/>
  <c r="AA8" i="6"/>
  <c r="AB8" i="6"/>
  <c r="AC8" i="6"/>
  <c r="AD8" i="6"/>
  <c r="AE8" i="6"/>
  <c r="C9" i="6"/>
  <c r="D9" i="6"/>
  <c r="E9" i="6"/>
  <c r="F9" i="6"/>
  <c r="G9" i="6"/>
  <c r="H9" i="6"/>
  <c r="I9" i="6"/>
  <c r="K9" i="6"/>
  <c r="L9" i="6"/>
  <c r="M9" i="6"/>
  <c r="N9" i="6"/>
  <c r="U9" i="6"/>
  <c r="V9" i="6"/>
  <c r="W9" i="6"/>
  <c r="X9" i="6"/>
  <c r="Y9" i="6"/>
  <c r="Z9" i="6"/>
  <c r="AA9" i="6"/>
  <c r="AB9" i="6"/>
  <c r="AC9" i="6"/>
  <c r="AD9" i="6"/>
  <c r="AE9" i="6"/>
  <c r="C10" i="6"/>
  <c r="D10" i="6"/>
  <c r="E10" i="6"/>
  <c r="F10" i="6"/>
  <c r="G10" i="6"/>
  <c r="H10" i="6"/>
  <c r="I10" i="6"/>
  <c r="J10" i="6"/>
  <c r="K10" i="6"/>
  <c r="L10" i="6"/>
  <c r="M10" i="6"/>
  <c r="N10" i="6"/>
  <c r="U10" i="6"/>
  <c r="V10" i="6"/>
  <c r="W10" i="6"/>
  <c r="X10" i="6"/>
  <c r="Y10" i="6"/>
  <c r="Z10" i="6"/>
  <c r="AA10" i="6"/>
  <c r="AB10" i="6"/>
  <c r="AC10" i="6"/>
  <c r="AD10" i="6"/>
  <c r="AE10" i="6"/>
  <c r="C11" i="6"/>
  <c r="D11" i="6"/>
  <c r="E11" i="6"/>
  <c r="F11" i="6"/>
  <c r="G11" i="6"/>
  <c r="H11" i="6"/>
  <c r="I11" i="6"/>
  <c r="J11" i="6"/>
  <c r="K11" i="6"/>
  <c r="L11" i="6"/>
  <c r="M11" i="6"/>
  <c r="N11" i="6"/>
  <c r="U11" i="6"/>
  <c r="V11" i="6"/>
  <c r="W11" i="6"/>
  <c r="X11" i="6"/>
  <c r="Y11" i="6"/>
  <c r="Z11" i="6"/>
  <c r="AA11" i="6"/>
  <c r="AB11" i="6"/>
  <c r="AC11" i="6"/>
  <c r="AD11" i="6"/>
  <c r="AE11" i="6"/>
  <c r="C12" i="6"/>
  <c r="D12" i="6"/>
  <c r="E12" i="6"/>
  <c r="F12" i="6"/>
  <c r="G12" i="6"/>
  <c r="H12" i="6"/>
  <c r="I12" i="6"/>
  <c r="J12" i="6"/>
  <c r="K12" i="6"/>
  <c r="L12" i="6"/>
  <c r="M12" i="6"/>
  <c r="N12" i="6"/>
  <c r="U12" i="6"/>
  <c r="V12" i="6"/>
  <c r="W12" i="6"/>
  <c r="X12" i="6"/>
  <c r="Y12" i="6"/>
  <c r="Z12" i="6"/>
  <c r="AA12" i="6"/>
  <c r="AB12" i="6"/>
  <c r="AC12" i="6"/>
  <c r="AD12" i="6"/>
  <c r="AE12" i="6"/>
  <c r="C13" i="6"/>
  <c r="C14" i="6" s="1"/>
  <c r="D13" i="6"/>
  <c r="E13" i="6"/>
  <c r="F13" i="6"/>
  <c r="G13" i="6"/>
  <c r="H13" i="6"/>
  <c r="I13" i="6"/>
  <c r="J13" i="6"/>
  <c r="K13" i="6"/>
  <c r="L13" i="6"/>
  <c r="M13" i="6"/>
  <c r="N13" i="6"/>
  <c r="U13" i="6"/>
  <c r="V13" i="6"/>
  <c r="W13" i="6"/>
  <c r="X13" i="6"/>
  <c r="Y13" i="6"/>
  <c r="Z13" i="6"/>
  <c r="AA13" i="6"/>
  <c r="AB13" i="6"/>
  <c r="AC13" i="6"/>
  <c r="AD13" i="6"/>
  <c r="AE13" i="6"/>
  <c r="D14" i="6"/>
  <c r="E14" i="6"/>
  <c r="F14" i="6"/>
  <c r="G14" i="6"/>
  <c r="H14" i="6"/>
  <c r="I14" i="6"/>
  <c r="J14" i="6"/>
  <c r="K14" i="6"/>
  <c r="L14" i="6"/>
  <c r="M14" i="6"/>
  <c r="N14" i="6"/>
  <c r="U14" i="6"/>
  <c r="V14" i="6"/>
  <c r="W14" i="6"/>
  <c r="X14" i="6"/>
  <c r="Y14" i="6"/>
  <c r="Z14" i="6"/>
  <c r="AA14" i="6"/>
  <c r="AB14" i="6"/>
  <c r="AC14" i="6"/>
  <c r="AD14" i="6"/>
  <c r="AE14" i="6"/>
  <c r="T20" i="6"/>
  <c r="U20" i="6"/>
  <c r="V20" i="6"/>
  <c r="W20" i="6"/>
  <c r="X20" i="6"/>
  <c r="Y20" i="6"/>
  <c r="Z20" i="6"/>
  <c r="AA20" i="6"/>
  <c r="AB20" i="6"/>
  <c r="AC20" i="6"/>
  <c r="AD20" i="6"/>
  <c r="AE20" i="6"/>
  <c r="N25" i="3"/>
  <c r="M25" i="3"/>
  <c r="L25" i="3"/>
  <c r="K25" i="3"/>
  <c r="J25" i="3"/>
  <c r="I25" i="3"/>
  <c r="H25" i="3"/>
  <c r="G25" i="3"/>
  <c r="F25" i="3"/>
  <c r="E25" i="3"/>
  <c r="D25" i="3"/>
  <c r="C25" i="3"/>
  <c r="C20" i="3"/>
  <c r="K11" i="3"/>
  <c r="N11" i="3"/>
  <c r="D11" i="3"/>
  <c r="E11" i="3"/>
  <c r="F11" i="3"/>
  <c r="G11" i="3"/>
  <c r="H11" i="3"/>
  <c r="I11" i="3"/>
  <c r="J11" i="3"/>
  <c r="L11" i="3"/>
  <c r="M11" i="3"/>
  <c r="C11" i="3"/>
  <c r="C4" i="4"/>
  <c r="U20" i="5"/>
  <c r="V20" i="5"/>
  <c r="W20" i="5"/>
  <c r="X20" i="5"/>
  <c r="Y20" i="5"/>
  <c r="Z20" i="5"/>
  <c r="AA20" i="5"/>
  <c r="AB20" i="5"/>
  <c r="AC20" i="5"/>
  <c r="AD20" i="5"/>
  <c r="AE20" i="5"/>
  <c r="T20" i="5"/>
  <c r="Q5" i="5"/>
  <c r="D4" i="5"/>
  <c r="E4" i="5"/>
  <c r="F4" i="5"/>
  <c r="G4" i="5"/>
  <c r="H4" i="5"/>
  <c r="I4" i="5"/>
  <c r="J4" i="5"/>
  <c r="K4" i="5"/>
  <c r="L4" i="5"/>
  <c r="M4" i="5"/>
  <c r="N4" i="5"/>
  <c r="C4" i="5"/>
  <c r="AC43" i="1"/>
  <c r="AC36" i="1"/>
  <c r="Z42" i="1"/>
  <c r="Z35" i="1"/>
  <c r="AB34" i="1"/>
  <c r="Z34" i="1"/>
  <c r="N37" i="1"/>
  <c r="Z19" i="1"/>
  <c r="N18" i="4"/>
  <c r="N15" i="6" s="1"/>
  <c r="AE15" i="6" s="1"/>
  <c r="P9" i="4"/>
  <c r="P10" i="4"/>
  <c r="P11" i="4"/>
  <c r="P12" i="4"/>
  <c r="P13" i="4"/>
  <c r="P14" i="4"/>
  <c r="P15" i="4"/>
  <c r="P16" i="4"/>
  <c r="P17" i="4"/>
  <c r="P8" i="4"/>
  <c r="I31" i="1"/>
  <c r="K31" i="1"/>
  <c r="O9" i="4"/>
  <c r="O10" i="4"/>
  <c r="O11" i="4"/>
  <c r="O12" i="4"/>
  <c r="O13" i="4"/>
  <c r="O14" i="4"/>
  <c r="O15" i="4"/>
  <c r="O16" i="4"/>
  <c r="O17" i="4"/>
  <c r="O8" i="4"/>
  <c r="S4" i="4"/>
  <c r="R4" i="4"/>
  <c r="Q4" i="4"/>
  <c r="P8" i="6" s="1"/>
  <c r="M18" i="4"/>
  <c r="M15" i="6" s="1"/>
  <c r="AD15" i="6" s="1"/>
  <c r="L18" i="4"/>
  <c r="L15" i="6" s="1"/>
  <c r="AC15" i="6" s="1"/>
  <c r="K18" i="4"/>
  <c r="K15" i="6" s="1"/>
  <c r="AB15" i="6" s="1"/>
  <c r="J18" i="4"/>
  <c r="J15" i="6" s="1"/>
  <c r="AA15" i="6" s="1"/>
  <c r="I18" i="4"/>
  <c r="I15" i="6" s="1"/>
  <c r="Z15" i="6" s="1"/>
  <c r="H18" i="4"/>
  <c r="H15" i="6" s="1"/>
  <c r="Y15" i="6" s="1"/>
  <c r="G18" i="4"/>
  <c r="G15" i="6" s="1"/>
  <c r="X15" i="6" s="1"/>
  <c r="F18" i="4"/>
  <c r="F15" i="6" s="1"/>
  <c r="W15" i="6" s="1"/>
  <c r="E18" i="4"/>
  <c r="E15" i="6" s="1"/>
  <c r="V15" i="6" s="1"/>
  <c r="D18" i="4"/>
  <c r="D15" i="6" s="1"/>
  <c r="U15" i="6" s="1"/>
  <c r="C18" i="4"/>
  <c r="N4" i="4"/>
  <c r="M4" i="4"/>
  <c r="L4" i="4"/>
  <c r="K4" i="4"/>
  <c r="J4" i="4"/>
  <c r="I4" i="4"/>
  <c r="H4" i="4"/>
  <c r="G4" i="4"/>
  <c r="F4" i="4"/>
  <c r="E4" i="4"/>
  <c r="D4" i="4"/>
  <c r="J10" i="1"/>
  <c r="K10" i="1"/>
  <c r="L10" i="1"/>
  <c r="M10" i="1"/>
  <c r="N10" i="1"/>
  <c r="O10" i="1"/>
  <c r="P10" i="1"/>
  <c r="Q10" i="1"/>
  <c r="R10" i="1"/>
  <c r="S10" i="1"/>
  <c r="T10" i="1"/>
  <c r="I10" i="1"/>
  <c r="M34" i="1"/>
  <c r="P34" i="1"/>
  <c r="AB22" i="1"/>
  <c r="Z20" i="1"/>
  <c r="W20" i="1"/>
  <c r="W21" i="1"/>
  <c r="W22" i="1"/>
  <c r="W23" i="1"/>
  <c r="W24" i="1"/>
  <c r="W25" i="1"/>
  <c r="W26" i="1"/>
  <c r="W27" i="1"/>
  <c r="W28" i="1"/>
  <c r="W19" i="1"/>
  <c r="T31" i="1"/>
  <c r="O31" i="1"/>
  <c r="L31" i="1"/>
  <c r="M31" i="1"/>
  <c r="N31" i="1"/>
  <c r="P31" i="1"/>
  <c r="Q31" i="1"/>
  <c r="R31" i="1"/>
  <c r="S31" i="1"/>
  <c r="J31" i="1"/>
  <c r="V25" i="1"/>
  <c r="V19" i="1"/>
  <c r="V24" i="1"/>
  <c r="V27" i="1"/>
  <c r="V20" i="1"/>
  <c r="Z41" i="1"/>
  <c r="N36" i="1"/>
  <c r="AG21" i="1"/>
  <c r="AH23" i="1"/>
  <c r="AH24" i="1"/>
  <c r="AK28" i="1"/>
  <c r="AJ28" i="1"/>
  <c r="AK27" i="1"/>
  <c r="AJ27" i="1"/>
  <c r="AK26" i="1"/>
  <c r="AJ26" i="1"/>
  <c r="AK25" i="1"/>
  <c r="AJ25" i="1"/>
  <c r="AK24" i="1"/>
  <c r="AJ24" i="1"/>
  <c r="AK23" i="1"/>
  <c r="AJ23" i="1"/>
  <c r="AK22" i="1"/>
  <c r="AJ22" i="1"/>
  <c r="AK21" i="1"/>
  <c r="AJ21" i="1"/>
  <c r="AK20" i="1"/>
  <c r="AJ20" i="1"/>
  <c r="AK19" i="1"/>
  <c r="AJ19" i="1"/>
  <c r="AA28" i="1"/>
  <c r="AA25" i="1"/>
  <c r="AB27" i="1"/>
  <c r="AB21" i="1"/>
  <c r="AG19" i="1"/>
  <c r="AH19" i="1"/>
  <c r="AI19" i="1"/>
  <c r="AG20" i="1"/>
  <c r="AH20" i="1"/>
  <c r="AI20" i="1"/>
  <c r="AH21" i="1"/>
  <c r="AI21" i="1"/>
  <c r="AG22" i="1"/>
  <c r="AH22" i="1"/>
  <c r="AI22" i="1"/>
  <c r="AG23" i="1"/>
  <c r="AI23" i="1"/>
  <c r="AG24" i="1"/>
  <c r="AI24" i="1"/>
  <c r="AG25" i="1"/>
  <c r="AH25" i="1"/>
  <c r="AI25" i="1"/>
  <c r="AG26" i="1"/>
  <c r="AH26" i="1"/>
  <c r="AI26" i="1"/>
  <c r="AG27" i="1"/>
  <c r="AH27" i="1"/>
  <c r="AI27" i="1"/>
  <c r="AG28" i="1"/>
  <c r="AH28" i="1"/>
  <c r="AI28" i="1"/>
  <c r="AC19" i="1"/>
  <c r="AB20" i="1"/>
  <c r="AB23" i="1"/>
  <c r="AB24" i="1"/>
  <c r="AB25" i="1"/>
  <c r="AB26" i="1"/>
  <c r="AB28" i="1"/>
  <c r="AB19" i="1"/>
  <c r="AD19" i="1"/>
  <c r="AE19" i="1"/>
  <c r="AF19" i="1"/>
  <c r="AC20" i="1"/>
  <c r="AD20" i="1"/>
  <c r="AE20" i="1"/>
  <c r="AF20" i="1"/>
  <c r="AC21" i="1"/>
  <c r="AD21" i="1"/>
  <c r="AE21" i="1"/>
  <c r="AF21" i="1"/>
  <c r="AC22" i="1"/>
  <c r="AD22" i="1"/>
  <c r="AE22" i="1"/>
  <c r="AF22" i="1"/>
  <c r="AC23" i="1"/>
  <c r="AD23" i="1"/>
  <c r="AE23" i="1"/>
  <c r="AF23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A19" i="1"/>
  <c r="AA27" i="1"/>
  <c r="AA26" i="1"/>
  <c r="AA24" i="1"/>
  <c r="AA23" i="1"/>
  <c r="AA22" i="1"/>
  <c r="AA21" i="1"/>
  <c r="AA20" i="1"/>
  <c r="Z28" i="1"/>
  <c r="Z22" i="1"/>
  <c r="Z21" i="1"/>
  <c r="Z23" i="1"/>
  <c r="Z24" i="1"/>
  <c r="Z25" i="1"/>
  <c r="Z26" i="1"/>
  <c r="Z27" i="1"/>
  <c r="V28" i="1"/>
  <c r="V26" i="1"/>
  <c r="V23" i="1"/>
  <c r="V22" i="1"/>
  <c r="V21" i="1"/>
  <c r="C5" i="8" l="1"/>
  <c r="T4" i="8"/>
  <c r="D5" i="8"/>
  <c r="U4" i="8"/>
  <c r="E5" i="8"/>
  <c r="V4" i="8"/>
  <c r="F5" i="8"/>
  <c r="W4" i="8"/>
  <c r="G5" i="8"/>
  <c r="X4" i="8"/>
  <c r="H5" i="8"/>
  <c r="Y4" i="8"/>
  <c r="I5" i="8"/>
  <c r="Z4" i="8"/>
  <c r="J5" i="8"/>
  <c r="AA4" i="8"/>
  <c r="K5" i="8"/>
  <c r="AB4" i="8"/>
  <c r="L5" i="8"/>
  <c r="AC4" i="8"/>
  <c r="M5" i="8"/>
  <c r="AD4" i="8"/>
  <c r="N5" i="8"/>
  <c r="AE4" i="8"/>
  <c r="C15" i="6"/>
  <c r="T4" i="5"/>
  <c r="P8" i="5" s="1"/>
  <c r="C5" i="5"/>
  <c r="AE4" i="5"/>
  <c r="N5" i="5"/>
  <c r="AD4" i="5"/>
  <c r="M5" i="5"/>
  <c r="AC4" i="5"/>
  <c r="L5" i="5"/>
  <c r="AB4" i="5"/>
  <c r="K5" i="5"/>
  <c r="AA4" i="5"/>
  <c r="J5" i="5"/>
  <c r="Z4" i="5"/>
  <c r="I5" i="5"/>
  <c r="Y4" i="5"/>
  <c r="H5" i="5"/>
  <c r="X4" i="5"/>
  <c r="G5" i="5"/>
  <c r="W4" i="5"/>
  <c r="F5" i="5"/>
  <c r="V4" i="5"/>
  <c r="E5" i="5"/>
  <c r="U4" i="5"/>
  <c r="D5" i="5"/>
  <c r="Q8" i="5"/>
  <c r="N20" i="6"/>
  <c r="M20" i="6"/>
  <c r="L20" i="6"/>
  <c r="K20" i="6"/>
  <c r="J20" i="6"/>
  <c r="I20" i="6"/>
  <c r="H20" i="6"/>
  <c r="G20" i="6"/>
  <c r="F20" i="6"/>
  <c r="E20" i="6"/>
  <c r="D20" i="6"/>
  <c r="T4" i="6"/>
  <c r="C20" i="6"/>
  <c r="N47" i="6"/>
  <c r="N31" i="6"/>
  <c r="AD45" i="6" s="1"/>
  <c r="M47" i="6"/>
  <c r="M31" i="6"/>
  <c r="AC45" i="6" s="1"/>
  <c r="L47" i="6"/>
  <c r="L31" i="6"/>
  <c r="AB45" i="6" s="1"/>
  <c r="K47" i="6"/>
  <c r="K31" i="6"/>
  <c r="AA45" i="6" s="1"/>
  <c r="J47" i="6"/>
  <c r="J31" i="6"/>
  <c r="Z45" i="6" s="1"/>
  <c r="I47" i="6"/>
  <c r="I31" i="6"/>
  <c r="Y45" i="6" s="1"/>
  <c r="H47" i="6"/>
  <c r="H31" i="6"/>
  <c r="X45" i="6" s="1"/>
  <c r="G47" i="6"/>
  <c r="G31" i="6"/>
  <c r="W45" i="6" s="1"/>
  <c r="F47" i="6"/>
  <c r="F31" i="6"/>
  <c r="V45" i="6" s="1"/>
  <c r="E47" i="6"/>
  <c r="E31" i="6"/>
  <c r="U45" i="6" s="1"/>
  <c r="D47" i="6"/>
  <c r="D31" i="6"/>
  <c r="T45" i="6" s="1"/>
  <c r="N46" i="6"/>
  <c r="N30" i="6"/>
  <c r="AE19" i="6" s="1"/>
  <c r="AE22" i="6" s="1"/>
  <c r="M46" i="6"/>
  <c r="M30" i="6"/>
  <c r="AD19" i="6" s="1"/>
  <c r="AD22" i="6" s="1"/>
  <c r="L46" i="6"/>
  <c r="L30" i="6"/>
  <c r="AC19" i="6" s="1"/>
  <c r="AC22" i="6" s="1"/>
  <c r="K46" i="6"/>
  <c r="K30" i="6"/>
  <c r="AB19" i="6" s="1"/>
  <c r="AB22" i="6" s="1"/>
  <c r="J46" i="6"/>
  <c r="J30" i="6"/>
  <c r="AA19" i="6" s="1"/>
  <c r="AA22" i="6" s="1"/>
  <c r="I46" i="6"/>
  <c r="I30" i="6"/>
  <c r="Z19" i="6" s="1"/>
  <c r="Z22" i="6" s="1"/>
  <c r="H46" i="6"/>
  <c r="H30" i="6"/>
  <c r="Y19" i="6" s="1"/>
  <c r="Y22" i="6" s="1"/>
  <c r="G46" i="6"/>
  <c r="G30" i="6"/>
  <c r="X19" i="6" s="1"/>
  <c r="X22" i="6" s="1"/>
  <c r="F46" i="6"/>
  <c r="F30" i="6"/>
  <c r="W19" i="6" s="1"/>
  <c r="W22" i="6" s="1"/>
  <c r="E46" i="6"/>
  <c r="E30" i="6"/>
  <c r="V19" i="6" s="1"/>
  <c r="V22" i="6" s="1"/>
  <c r="D46" i="6"/>
  <c r="D30" i="6"/>
  <c r="U19" i="6" s="1"/>
  <c r="U22" i="6" s="1"/>
  <c r="N45" i="6"/>
  <c r="N29" i="6"/>
  <c r="M45" i="6"/>
  <c r="M29" i="6"/>
  <c r="L45" i="6"/>
  <c r="L29" i="6"/>
  <c r="K45" i="6"/>
  <c r="K29" i="6"/>
  <c r="J45" i="6"/>
  <c r="J29" i="6"/>
  <c r="I45" i="6"/>
  <c r="I29" i="6"/>
  <c r="H45" i="6"/>
  <c r="H29" i="6"/>
  <c r="G45" i="6"/>
  <c r="G29" i="6"/>
  <c r="F45" i="6"/>
  <c r="F29" i="6"/>
  <c r="E45" i="6"/>
  <c r="E29" i="6"/>
  <c r="D45" i="6"/>
  <c r="D29" i="6"/>
  <c r="N44" i="6"/>
  <c r="N28" i="6"/>
  <c r="M44" i="6"/>
  <c r="M28" i="6"/>
  <c r="L44" i="6"/>
  <c r="L28" i="6"/>
  <c r="K44" i="6"/>
  <c r="K28" i="6"/>
  <c r="J44" i="6"/>
  <c r="J28" i="6"/>
  <c r="I44" i="6"/>
  <c r="I28" i="6"/>
  <c r="H44" i="6"/>
  <c r="H28" i="6"/>
  <c r="G44" i="6"/>
  <c r="G28" i="6"/>
  <c r="F44" i="6"/>
  <c r="F28" i="6"/>
  <c r="E44" i="6"/>
  <c r="E28" i="6"/>
  <c r="D44" i="6"/>
  <c r="D28" i="6"/>
  <c r="N43" i="6"/>
  <c r="N27" i="6"/>
  <c r="M43" i="6"/>
  <c r="M27" i="6"/>
  <c r="L43" i="6"/>
  <c r="L27" i="6"/>
  <c r="K43" i="6"/>
  <c r="K27" i="6"/>
  <c r="J43" i="6"/>
  <c r="J27" i="6"/>
  <c r="I43" i="6"/>
  <c r="I27" i="6"/>
  <c r="H43" i="6"/>
  <c r="H27" i="6"/>
  <c r="G43" i="6"/>
  <c r="G27" i="6"/>
  <c r="F43" i="6"/>
  <c r="F27" i="6"/>
  <c r="E43" i="6"/>
  <c r="E27" i="6"/>
  <c r="D43" i="6"/>
  <c r="D27" i="6"/>
  <c r="N42" i="6"/>
  <c r="N26" i="6"/>
  <c r="M42" i="6"/>
  <c r="M26" i="6"/>
  <c r="L42" i="6"/>
  <c r="L26" i="6"/>
  <c r="K42" i="6"/>
  <c r="K26" i="6"/>
  <c r="J42" i="6"/>
  <c r="J26" i="6"/>
  <c r="I42" i="6"/>
  <c r="I26" i="6"/>
  <c r="H42" i="6"/>
  <c r="H26" i="6"/>
  <c r="G42" i="6"/>
  <c r="G26" i="6"/>
  <c r="F42" i="6"/>
  <c r="F26" i="6"/>
  <c r="E42" i="6"/>
  <c r="E26" i="6"/>
  <c r="D42" i="6"/>
  <c r="D26" i="6"/>
  <c r="N41" i="6"/>
  <c r="N25" i="6"/>
  <c r="M41" i="6"/>
  <c r="M25" i="6"/>
  <c r="L41" i="6"/>
  <c r="L25" i="6"/>
  <c r="K41" i="6"/>
  <c r="K25" i="6"/>
  <c r="J41" i="6"/>
  <c r="J25" i="6"/>
  <c r="I41" i="6"/>
  <c r="I25" i="6"/>
  <c r="H41" i="6"/>
  <c r="H25" i="6"/>
  <c r="G41" i="6"/>
  <c r="G25" i="6"/>
  <c r="F41" i="6"/>
  <c r="F25" i="6"/>
  <c r="E41" i="6"/>
  <c r="E25" i="6"/>
  <c r="D41" i="6"/>
  <c r="D25" i="6"/>
  <c r="N40" i="6"/>
  <c r="N24" i="6"/>
  <c r="M40" i="6"/>
  <c r="M24" i="6"/>
  <c r="L40" i="6"/>
  <c r="L24" i="6"/>
  <c r="K40" i="6"/>
  <c r="K24" i="6"/>
  <c r="J40" i="6"/>
  <c r="J24" i="6"/>
  <c r="I40" i="6"/>
  <c r="I24" i="6"/>
  <c r="H40" i="6"/>
  <c r="H24" i="6"/>
  <c r="G40" i="6"/>
  <c r="G24" i="6"/>
  <c r="F40" i="6"/>
  <c r="F24" i="6"/>
  <c r="E40" i="6"/>
  <c r="E24" i="6"/>
  <c r="D40" i="6"/>
  <c r="D24" i="6"/>
  <c r="N39" i="6"/>
  <c r="N23" i="6"/>
  <c r="M39" i="6"/>
  <c r="M23" i="6"/>
  <c r="L39" i="6"/>
  <c r="L23" i="6"/>
  <c r="K39" i="6"/>
  <c r="K23" i="6"/>
  <c r="J39" i="6"/>
  <c r="J23" i="6"/>
  <c r="I39" i="6"/>
  <c r="I23" i="6"/>
  <c r="H39" i="6"/>
  <c r="H23" i="6"/>
  <c r="G39" i="6"/>
  <c r="G23" i="6"/>
  <c r="F39" i="6"/>
  <c r="F23" i="6"/>
  <c r="E39" i="6"/>
  <c r="E23" i="6"/>
  <c r="D39" i="6"/>
  <c r="D23" i="6"/>
  <c r="N38" i="6"/>
  <c r="N22" i="6"/>
  <c r="M38" i="6"/>
  <c r="M22" i="6"/>
  <c r="L38" i="6"/>
  <c r="L22" i="6"/>
  <c r="K38" i="6"/>
  <c r="K22" i="6"/>
  <c r="J38" i="6"/>
  <c r="J22" i="6"/>
  <c r="I38" i="6"/>
  <c r="I22" i="6"/>
  <c r="H38" i="6"/>
  <c r="H22" i="6"/>
  <c r="G38" i="6"/>
  <c r="G22" i="6"/>
  <c r="F38" i="6"/>
  <c r="F22" i="6"/>
  <c r="E38" i="6"/>
  <c r="E22" i="6"/>
  <c r="D38" i="6"/>
  <c r="D22" i="6"/>
  <c r="C36" i="6"/>
  <c r="D36" i="6"/>
  <c r="E36" i="6"/>
  <c r="F36" i="6"/>
  <c r="G36" i="6"/>
  <c r="H36" i="6"/>
  <c r="I36" i="6"/>
  <c r="J36" i="6"/>
  <c r="K36" i="6"/>
  <c r="L36" i="6"/>
  <c r="M36" i="6"/>
  <c r="N36" i="6"/>
  <c r="N37" i="6"/>
  <c r="N21" i="6"/>
  <c r="M37" i="6"/>
  <c r="M21" i="6"/>
  <c r="L37" i="6"/>
  <c r="L21" i="6"/>
  <c r="K37" i="6"/>
  <c r="K21" i="6"/>
  <c r="J37" i="6"/>
  <c r="J21" i="6"/>
  <c r="I37" i="6"/>
  <c r="I21" i="6"/>
  <c r="H37" i="6"/>
  <c r="H21" i="6"/>
  <c r="G37" i="6"/>
  <c r="G21" i="6"/>
  <c r="F37" i="6"/>
  <c r="F21" i="6"/>
  <c r="E37" i="6"/>
  <c r="E21" i="6"/>
  <c r="D37" i="6"/>
  <c r="D21" i="6"/>
  <c r="R30" i="4"/>
  <c r="H33" i="4"/>
  <c r="T5" i="5"/>
  <c r="C6" i="5"/>
  <c r="AE5" i="5"/>
  <c r="N6" i="5"/>
  <c r="AD5" i="5"/>
  <c r="M6" i="5"/>
  <c r="AC5" i="5"/>
  <c r="L6" i="5"/>
  <c r="AB5" i="5"/>
  <c r="K6" i="5"/>
  <c r="AA5" i="5"/>
  <c r="J6" i="5"/>
  <c r="Z5" i="5"/>
  <c r="I6" i="5"/>
  <c r="Y5" i="5"/>
  <c r="H6" i="5"/>
  <c r="X5" i="5"/>
  <c r="G6" i="5"/>
  <c r="W5" i="5"/>
  <c r="F6" i="5"/>
  <c r="V5" i="5"/>
  <c r="E6" i="5"/>
  <c r="U5" i="5"/>
  <c r="D6" i="5"/>
  <c r="P18" i="4"/>
  <c r="C20" i="4"/>
  <c r="D19" i="4"/>
  <c r="D20" i="4"/>
  <c r="E19" i="4"/>
  <c r="E20" i="4"/>
  <c r="F19" i="4"/>
  <c r="F20" i="4"/>
  <c r="G19" i="4"/>
  <c r="G20" i="4"/>
  <c r="H19" i="4"/>
  <c r="H20" i="4"/>
  <c r="I19" i="4"/>
  <c r="I20" i="4"/>
  <c r="J19" i="4"/>
  <c r="J20" i="4"/>
  <c r="K19" i="4"/>
  <c r="K20" i="4"/>
  <c r="L19" i="4"/>
  <c r="L20" i="4"/>
  <c r="M19" i="4"/>
  <c r="M20" i="4"/>
  <c r="N19" i="4"/>
  <c r="N20" i="4"/>
  <c r="O18" i="4"/>
  <c r="C19" i="4"/>
  <c r="M36" i="1"/>
  <c r="M35" i="1"/>
  <c r="P36" i="1"/>
  <c r="AB41" i="1"/>
  <c r="N36" i="8" l="1"/>
  <c r="N20" i="8"/>
  <c r="N6" i="8"/>
  <c r="AE5" i="8"/>
  <c r="M36" i="8"/>
  <c r="M20" i="8"/>
  <c r="M6" i="8"/>
  <c r="AD5" i="8"/>
  <c r="L36" i="8"/>
  <c r="L20" i="8"/>
  <c r="L6" i="8"/>
  <c r="AC5" i="8"/>
  <c r="K36" i="8"/>
  <c r="K20" i="8"/>
  <c r="K6" i="8"/>
  <c r="AB5" i="8"/>
  <c r="J36" i="8"/>
  <c r="J20" i="8"/>
  <c r="J6" i="8"/>
  <c r="AA5" i="8"/>
  <c r="I36" i="8"/>
  <c r="I20" i="8"/>
  <c r="I6" i="8"/>
  <c r="Z5" i="8"/>
  <c r="H36" i="8"/>
  <c r="H20" i="8"/>
  <c r="H6" i="8"/>
  <c r="Y5" i="8"/>
  <c r="G36" i="8"/>
  <c r="G20" i="8"/>
  <c r="G6" i="8"/>
  <c r="X5" i="8"/>
  <c r="F36" i="8"/>
  <c r="F20" i="8"/>
  <c r="F6" i="8"/>
  <c r="W5" i="8"/>
  <c r="E36" i="8"/>
  <c r="E20" i="8"/>
  <c r="E6" i="8"/>
  <c r="V5" i="8"/>
  <c r="D36" i="8"/>
  <c r="D20" i="8"/>
  <c r="D6" i="8"/>
  <c r="U5" i="8"/>
  <c r="C36" i="8"/>
  <c r="C20" i="8"/>
  <c r="Q8" i="8"/>
  <c r="C6" i="8"/>
  <c r="T5" i="8"/>
  <c r="T5" i="6"/>
  <c r="Q8" i="6"/>
  <c r="T37" i="4"/>
  <c r="U39" i="4" s="1"/>
  <c r="T30" i="4"/>
  <c r="U32" i="4" s="1"/>
  <c r="Q9" i="5"/>
  <c r="P9" i="5"/>
  <c r="U6" i="5"/>
  <c r="D7" i="5"/>
  <c r="V6" i="5"/>
  <c r="E7" i="5"/>
  <c r="W6" i="5"/>
  <c r="F7" i="5"/>
  <c r="X6" i="5"/>
  <c r="G7" i="5"/>
  <c r="Y6" i="5"/>
  <c r="H7" i="5"/>
  <c r="Z6" i="5"/>
  <c r="I7" i="5"/>
  <c r="AA6" i="5"/>
  <c r="J7" i="5"/>
  <c r="AB6" i="5"/>
  <c r="K7" i="5"/>
  <c r="AC6" i="5"/>
  <c r="L7" i="5"/>
  <c r="AD6" i="5"/>
  <c r="M7" i="5"/>
  <c r="AE6" i="5"/>
  <c r="N7" i="5"/>
  <c r="T6" i="5"/>
  <c r="C7" i="5"/>
  <c r="O19" i="4"/>
  <c r="P35" i="1"/>
  <c r="M37" i="1"/>
  <c r="P37" i="1" s="1"/>
  <c r="C37" i="8" l="1"/>
  <c r="C21" i="8"/>
  <c r="Q9" i="8"/>
  <c r="C7" i="8"/>
  <c r="T6" i="8"/>
  <c r="D37" i="8"/>
  <c r="D21" i="8"/>
  <c r="D7" i="8"/>
  <c r="U6" i="8"/>
  <c r="E37" i="8"/>
  <c r="E21" i="8"/>
  <c r="E7" i="8"/>
  <c r="V6" i="8"/>
  <c r="F37" i="8"/>
  <c r="F21" i="8"/>
  <c r="F7" i="8"/>
  <c r="W6" i="8"/>
  <c r="G37" i="8"/>
  <c r="G21" i="8"/>
  <c r="G7" i="8"/>
  <c r="X6" i="8"/>
  <c r="H37" i="8"/>
  <c r="H21" i="8"/>
  <c r="H7" i="8"/>
  <c r="Y6" i="8"/>
  <c r="I37" i="8"/>
  <c r="I21" i="8"/>
  <c r="I7" i="8"/>
  <c r="Z6" i="8"/>
  <c r="J37" i="8"/>
  <c r="J21" i="8"/>
  <c r="J7" i="8"/>
  <c r="AA6" i="8"/>
  <c r="K37" i="8"/>
  <c r="K21" i="8"/>
  <c r="K7" i="8"/>
  <c r="AB6" i="8"/>
  <c r="L37" i="8"/>
  <c r="L21" i="8"/>
  <c r="L7" i="8"/>
  <c r="AC6" i="8"/>
  <c r="M37" i="8"/>
  <c r="M21" i="8"/>
  <c r="M7" i="8"/>
  <c r="AD6" i="8"/>
  <c r="N37" i="8"/>
  <c r="N21" i="8"/>
  <c r="N7" i="8"/>
  <c r="AE6" i="8"/>
  <c r="T6" i="6"/>
  <c r="Q9" i="6"/>
  <c r="C37" i="6"/>
  <c r="C21" i="6"/>
  <c r="C32" i="4"/>
  <c r="W14" i="4"/>
  <c r="V9" i="4"/>
  <c r="W9" i="4"/>
  <c r="X9" i="4"/>
  <c r="Y9" i="4"/>
  <c r="Z9" i="4"/>
  <c r="AA9" i="4"/>
  <c r="AB9" i="4"/>
  <c r="AC9" i="4"/>
  <c r="AD9" i="4"/>
  <c r="AE9" i="4"/>
  <c r="AF9" i="4"/>
  <c r="V10" i="4"/>
  <c r="W10" i="4"/>
  <c r="X10" i="4"/>
  <c r="Y10" i="4"/>
  <c r="Z10" i="4"/>
  <c r="AA10" i="4"/>
  <c r="AB10" i="4"/>
  <c r="AC10" i="4"/>
  <c r="AD10" i="4"/>
  <c r="AE10" i="4"/>
  <c r="AF10" i="4"/>
  <c r="V11" i="4"/>
  <c r="W11" i="4"/>
  <c r="X11" i="4"/>
  <c r="Y11" i="4"/>
  <c r="Z11" i="4"/>
  <c r="AA11" i="4"/>
  <c r="AB11" i="4"/>
  <c r="AC11" i="4"/>
  <c r="AD11" i="4"/>
  <c r="AE11" i="4"/>
  <c r="AF11" i="4"/>
  <c r="V12" i="4"/>
  <c r="W12" i="4"/>
  <c r="X12" i="4"/>
  <c r="Y12" i="4"/>
  <c r="Z12" i="4"/>
  <c r="AA12" i="4"/>
  <c r="AB12" i="4"/>
  <c r="AC12" i="4"/>
  <c r="AD12" i="4"/>
  <c r="AE12" i="4"/>
  <c r="AF12" i="4"/>
  <c r="V13" i="4"/>
  <c r="W13" i="4"/>
  <c r="X13" i="4"/>
  <c r="Y13" i="4"/>
  <c r="Z13" i="4"/>
  <c r="AA13" i="4"/>
  <c r="AB13" i="4"/>
  <c r="AC13" i="4"/>
  <c r="AD13" i="4"/>
  <c r="AE13" i="4"/>
  <c r="AF13" i="4"/>
  <c r="V14" i="4"/>
  <c r="X14" i="4"/>
  <c r="Y14" i="4"/>
  <c r="Z14" i="4"/>
  <c r="AA14" i="4"/>
  <c r="AB14" i="4"/>
  <c r="AC14" i="4"/>
  <c r="AD14" i="4"/>
  <c r="AE14" i="4"/>
  <c r="AF14" i="4"/>
  <c r="V15" i="4"/>
  <c r="W15" i="4"/>
  <c r="X15" i="4"/>
  <c r="Y15" i="4"/>
  <c r="Z15" i="4"/>
  <c r="AA15" i="4"/>
  <c r="AB15" i="4"/>
  <c r="AC15" i="4"/>
  <c r="AD15" i="4"/>
  <c r="AE15" i="4"/>
  <c r="AF15" i="4"/>
  <c r="V16" i="4"/>
  <c r="W16" i="4"/>
  <c r="X16" i="4"/>
  <c r="Y16" i="4"/>
  <c r="Z16" i="4"/>
  <c r="AA16" i="4"/>
  <c r="AB16" i="4"/>
  <c r="AC16" i="4"/>
  <c r="AD16" i="4"/>
  <c r="AE16" i="4"/>
  <c r="AF16" i="4"/>
  <c r="V17" i="4"/>
  <c r="W17" i="4"/>
  <c r="X17" i="4"/>
  <c r="Y17" i="4"/>
  <c r="Z17" i="4"/>
  <c r="AA17" i="4"/>
  <c r="AB17" i="4"/>
  <c r="AC17" i="4"/>
  <c r="AD17" i="4"/>
  <c r="AE17" i="4"/>
  <c r="AF17" i="4"/>
  <c r="V8" i="4"/>
  <c r="W8" i="4"/>
  <c r="X8" i="4"/>
  <c r="Y8" i="4"/>
  <c r="Z8" i="4"/>
  <c r="AA8" i="4"/>
  <c r="AB8" i="4"/>
  <c r="AC8" i="4"/>
  <c r="AD8" i="4"/>
  <c r="AE8" i="4"/>
  <c r="AF8" i="4"/>
  <c r="U9" i="4"/>
  <c r="U11" i="4"/>
  <c r="U12" i="4"/>
  <c r="U13" i="4"/>
  <c r="U14" i="4"/>
  <c r="U15" i="4"/>
  <c r="U16" i="4"/>
  <c r="U17" i="4"/>
  <c r="U8" i="4"/>
  <c r="U18" i="4"/>
  <c r="V18" i="4"/>
  <c r="W18" i="4"/>
  <c r="X18" i="4"/>
  <c r="Y18" i="4"/>
  <c r="Z18" i="4"/>
  <c r="AA18" i="4"/>
  <c r="AB18" i="4"/>
  <c r="AC18" i="4"/>
  <c r="AD18" i="4"/>
  <c r="AE18" i="4"/>
  <c r="AF18" i="4"/>
  <c r="Q10" i="5"/>
  <c r="P10" i="5"/>
  <c r="T7" i="5"/>
  <c r="C8" i="5"/>
  <c r="AE7" i="5"/>
  <c r="N8" i="5"/>
  <c r="AD7" i="5"/>
  <c r="M8" i="5"/>
  <c r="AC7" i="5"/>
  <c r="L8" i="5"/>
  <c r="AB7" i="5"/>
  <c r="K8" i="5"/>
  <c r="AA7" i="5"/>
  <c r="J8" i="5"/>
  <c r="Z7" i="5"/>
  <c r="I8" i="5"/>
  <c r="Y7" i="5"/>
  <c r="H8" i="5"/>
  <c r="X7" i="5"/>
  <c r="G8" i="5"/>
  <c r="W7" i="5"/>
  <c r="F8" i="5"/>
  <c r="V7" i="5"/>
  <c r="E8" i="5"/>
  <c r="U7" i="5"/>
  <c r="D8" i="5"/>
  <c r="J31" i="4"/>
  <c r="G32" i="4" a="1"/>
  <c r="G32" i="4" s="1"/>
  <c r="J32" i="4" s="1"/>
  <c r="N38" i="8" l="1"/>
  <c r="N22" i="8"/>
  <c r="N8" i="8"/>
  <c r="AE7" i="8"/>
  <c r="M38" i="8"/>
  <c r="M22" i="8"/>
  <c r="M8" i="8"/>
  <c r="AD7" i="8"/>
  <c r="L38" i="8"/>
  <c r="L22" i="8"/>
  <c r="L8" i="8"/>
  <c r="AC7" i="8"/>
  <c r="K38" i="8"/>
  <c r="K22" i="8"/>
  <c r="K8" i="8"/>
  <c r="AB7" i="8"/>
  <c r="J38" i="8"/>
  <c r="J22" i="8"/>
  <c r="J8" i="8"/>
  <c r="AA7" i="8"/>
  <c r="I38" i="8"/>
  <c r="I22" i="8"/>
  <c r="I8" i="8"/>
  <c r="Z7" i="8"/>
  <c r="H38" i="8"/>
  <c r="H22" i="8"/>
  <c r="H8" i="8"/>
  <c r="Y7" i="8"/>
  <c r="G38" i="8"/>
  <c r="G22" i="8"/>
  <c r="G8" i="8"/>
  <c r="X7" i="8"/>
  <c r="F38" i="8"/>
  <c r="F22" i="8"/>
  <c r="F8" i="8"/>
  <c r="W7" i="8"/>
  <c r="E38" i="8"/>
  <c r="E22" i="8"/>
  <c r="E8" i="8"/>
  <c r="V7" i="8"/>
  <c r="D38" i="8"/>
  <c r="D22" i="8"/>
  <c r="D8" i="8"/>
  <c r="U7" i="8"/>
  <c r="C38" i="8"/>
  <c r="C22" i="8"/>
  <c r="Q10" i="8"/>
  <c r="C8" i="8"/>
  <c r="T7" i="8"/>
  <c r="T7" i="6"/>
  <c r="P10" i="6"/>
  <c r="Q10" i="6"/>
  <c r="C38" i="6"/>
  <c r="C22" i="6"/>
  <c r="G33" i="4"/>
  <c r="J33" i="4" s="1"/>
  <c r="R31" i="4" s="1"/>
  <c r="Q11" i="5"/>
  <c r="P11" i="5"/>
  <c r="U8" i="5"/>
  <c r="D9" i="5"/>
  <c r="V8" i="5"/>
  <c r="E9" i="5"/>
  <c r="W8" i="5"/>
  <c r="F9" i="5"/>
  <c r="X8" i="5"/>
  <c r="G9" i="5"/>
  <c r="Y8" i="5"/>
  <c r="H9" i="5"/>
  <c r="Z8" i="5"/>
  <c r="I9" i="5"/>
  <c r="AA8" i="5"/>
  <c r="J9" i="5"/>
  <c r="AB8" i="5"/>
  <c r="K9" i="5"/>
  <c r="AC8" i="5"/>
  <c r="L9" i="5"/>
  <c r="AD8" i="5"/>
  <c r="M9" i="5"/>
  <c r="AE8" i="5"/>
  <c r="N9" i="5"/>
  <c r="T8" i="5"/>
  <c r="C9" i="5"/>
  <c r="G34" i="4"/>
  <c r="J34" i="4" s="1"/>
  <c r="C39" i="8" l="1"/>
  <c r="C23" i="8"/>
  <c r="Q11" i="8"/>
  <c r="P11" i="8"/>
  <c r="C9" i="8"/>
  <c r="T8" i="8"/>
  <c r="D39" i="8"/>
  <c r="D23" i="8"/>
  <c r="D9" i="8"/>
  <c r="U8" i="8"/>
  <c r="E39" i="8"/>
  <c r="E23" i="8"/>
  <c r="E9" i="8"/>
  <c r="V8" i="8"/>
  <c r="F39" i="8"/>
  <c r="F23" i="8"/>
  <c r="F9" i="8"/>
  <c r="W8" i="8"/>
  <c r="G39" i="8"/>
  <c r="G23" i="8"/>
  <c r="G9" i="8"/>
  <c r="X8" i="8"/>
  <c r="H39" i="8"/>
  <c r="H23" i="8"/>
  <c r="H9" i="8"/>
  <c r="Y8" i="8"/>
  <c r="I39" i="8"/>
  <c r="I23" i="8"/>
  <c r="I9" i="8"/>
  <c r="Z8" i="8"/>
  <c r="J39" i="8"/>
  <c r="J23" i="8"/>
  <c r="J9" i="8"/>
  <c r="AA8" i="8"/>
  <c r="K39" i="8"/>
  <c r="K23" i="8"/>
  <c r="K9" i="8"/>
  <c r="AB8" i="8"/>
  <c r="L39" i="8"/>
  <c r="L23" i="8"/>
  <c r="L9" i="8"/>
  <c r="AC8" i="8"/>
  <c r="M39" i="8"/>
  <c r="M23" i="8"/>
  <c r="M9" i="8"/>
  <c r="AD8" i="8"/>
  <c r="N39" i="8"/>
  <c r="N23" i="8"/>
  <c r="N9" i="8"/>
  <c r="AE8" i="8"/>
  <c r="T8" i="6"/>
  <c r="P11" i="6"/>
  <c r="Q11" i="6"/>
  <c r="C39" i="6"/>
  <c r="C23" i="6"/>
  <c r="R38" i="4"/>
  <c r="Q12" i="5"/>
  <c r="P12" i="5"/>
  <c r="T9" i="5"/>
  <c r="C10" i="5"/>
  <c r="AE9" i="5"/>
  <c r="N10" i="5"/>
  <c r="AD9" i="5"/>
  <c r="M10" i="5"/>
  <c r="AC9" i="5"/>
  <c r="L10" i="5"/>
  <c r="AB9" i="5"/>
  <c r="K10" i="5"/>
  <c r="AA9" i="5"/>
  <c r="J10" i="5"/>
  <c r="Z9" i="5"/>
  <c r="I10" i="5"/>
  <c r="Y9" i="5"/>
  <c r="H10" i="5"/>
  <c r="X9" i="5"/>
  <c r="G10" i="5"/>
  <c r="W9" i="5"/>
  <c r="F10" i="5"/>
  <c r="V9" i="5"/>
  <c r="E10" i="5"/>
  <c r="U9" i="5"/>
  <c r="D10" i="5"/>
  <c r="N40" i="8" l="1"/>
  <c r="N24" i="8"/>
  <c r="N10" i="8"/>
  <c r="AE9" i="8"/>
  <c r="M40" i="8"/>
  <c r="M24" i="8"/>
  <c r="M10" i="8"/>
  <c r="AD9" i="8"/>
  <c r="L40" i="8"/>
  <c r="L24" i="8"/>
  <c r="L10" i="8"/>
  <c r="AC9" i="8"/>
  <c r="K40" i="8"/>
  <c r="K24" i="8"/>
  <c r="K10" i="8"/>
  <c r="AB9" i="8"/>
  <c r="J40" i="8"/>
  <c r="J24" i="8"/>
  <c r="J10" i="8"/>
  <c r="AA9" i="8"/>
  <c r="I40" i="8"/>
  <c r="I24" i="8"/>
  <c r="I10" i="8"/>
  <c r="Z9" i="8"/>
  <c r="H40" i="8"/>
  <c r="H24" i="8"/>
  <c r="H10" i="8"/>
  <c r="Y9" i="8"/>
  <c r="G40" i="8"/>
  <c r="G24" i="8"/>
  <c r="G10" i="8"/>
  <c r="X9" i="8"/>
  <c r="F40" i="8"/>
  <c r="F24" i="8"/>
  <c r="F10" i="8"/>
  <c r="W9" i="8"/>
  <c r="E40" i="8"/>
  <c r="E24" i="8"/>
  <c r="E10" i="8"/>
  <c r="V9" i="8"/>
  <c r="D40" i="8"/>
  <c r="D24" i="8"/>
  <c r="D10" i="8"/>
  <c r="U9" i="8"/>
  <c r="C40" i="8"/>
  <c r="C24" i="8"/>
  <c r="Q12" i="8"/>
  <c r="P12" i="8"/>
  <c r="C10" i="8"/>
  <c r="T9" i="8"/>
  <c r="T9" i="6"/>
  <c r="P12" i="6"/>
  <c r="Q12" i="6"/>
  <c r="C40" i="6"/>
  <c r="C24" i="6"/>
  <c r="Q13" i="5"/>
  <c r="P13" i="5"/>
  <c r="U10" i="5"/>
  <c r="D11" i="5"/>
  <c r="V10" i="5"/>
  <c r="E11" i="5"/>
  <c r="W10" i="5"/>
  <c r="F11" i="5"/>
  <c r="X10" i="5"/>
  <c r="G11" i="5"/>
  <c r="Y10" i="5"/>
  <c r="H11" i="5"/>
  <c r="Z10" i="5"/>
  <c r="I11" i="5"/>
  <c r="AA10" i="5"/>
  <c r="J11" i="5"/>
  <c r="AB10" i="5"/>
  <c r="K11" i="5"/>
  <c r="AC10" i="5"/>
  <c r="L11" i="5"/>
  <c r="AD10" i="5"/>
  <c r="M11" i="5"/>
  <c r="AE10" i="5"/>
  <c r="N11" i="5"/>
  <c r="T10" i="5"/>
  <c r="C11" i="5"/>
  <c r="C41" i="8" l="1"/>
  <c r="C25" i="8"/>
  <c r="Q13" i="8"/>
  <c r="P13" i="8"/>
  <c r="C11" i="8"/>
  <c r="T10" i="8"/>
  <c r="D41" i="8"/>
  <c r="D25" i="8"/>
  <c r="D11" i="8"/>
  <c r="U10" i="8"/>
  <c r="E41" i="8"/>
  <c r="E25" i="8"/>
  <c r="E11" i="8"/>
  <c r="V10" i="8"/>
  <c r="F41" i="8"/>
  <c r="F25" i="8"/>
  <c r="F11" i="8"/>
  <c r="W10" i="8"/>
  <c r="G41" i="8"/>
  <c r="G25" i="8"/>
  <c r="G11" i="8"/>
  <c r="X10" i="8"/>
  <c r="H41" i="8"/>
  <c r="H25" i="8"/>
  <c r="H11" i="8"/>
  <c r="Y10" i="8"/>
  <c r="I41" i="8"/>
  <c r="I25" i="8"/>
  <c r="I11" i="8"/>
  <c r="Z10" i="8"/>
  <c r="J41" i="8"/>
  <c r="J25" i="8"/>
  <c r="J11" i="8"/>
  <c r="AA10" i="8"/>
  <c r="K41" i="8"/>
  <c r="K25" i="8"/>
  <c r="K11" i="8"/>
  <c r="AB10" i="8"/>
  <c r="L41" i="8"/>
  <c r="L25" i="8"/>
  <c r="L11" i="8"/>
  <c r="AC10" i="8"/>
  <c r="M41" i="8"/>
  <c r="M25" i="8"/>
  <c r="M11" i="8"/>
  <c r="AD10" i="8"/>
  <c r="N41" i="8"/>
  <c r="N25" i="8"/>
  <c r="N11" i="8"/>
  <c r="AE10" i="8"/>
  <c r="T10" i="6"/>
  <c r="P13" i="6"/>
  <c r="Q13" i="6"/>
  <c r="C41" i="6"/>
  <c r="C25" i="6"/>
  <c r="Q14" i="5"/>
  <c r="P14" i="5"/>
  <c r="T11" i="5"/>
  <c r="C12" i="5"/>
  <c r="AE11" i="5"/>
  <c r="N12" i="5"/>
  <c r="AD11" i="5"/>
  <c r="M12" i="5"/>
  <c r="AC11" i="5"/>
  <c r="L12" i="5"/>
  <c r="AB11" i="5"/>
  <c r="K12" i="5"/>
  <c r="AA11" i="5"/>
  <c r="J12" i="5"/>
  <c r="Z11" i="5"/>
  <c r="I12" i="5"/>
  <c r="Y11" i="5"/>
  <c r="H12" i="5"/>
  <c r="X11" i="5"/>
  <c r="G12" i="5"/>
  <c r="W11" i="5"/>
  <c r="F12" i="5"/>
  <c r="V11" i="5"/>
  <c r="E12" i="5"/>
  <c r="U11" i="5"/>
  <c r="D12" i="5"/>
  <c r="N42" i="8" l="1"/>
  <c r="N26" i="8"/>
  <c r="N12" i="8"/>
  <c r="AE11" i="8"/>
  <c r="M42" i="8"/>
  <c r="M26" i="8"/>
  <c r="M12" i="8"/>
  <c r="AD11" i="8"/>
  <c r="L42" i="8"/>
  <c r="L26" i="8"/>
  <c r="L12" i="8"/>
  <c r="AC11" i="8"/>
  <c r="K42" i="8"/>
  <c r="K26" i="8"/>
  <c r="K12" i="8"/>
  <c r="AB11" i="8"/>
  <c r="J42" i="8"/>
  <c r="J26" i="8"/>
  <c r="J12" i="8"/>
  <c r="AA11" i="8"/>
  <c r="I42" i="8"/>
  <c r="I26" i="8"/>
  <c r="I12" i="8"/>
  <c r="Z11" i="8"/>
  <c r="H42" i="8"/>
  <c r="H26" i="8"/>
  <c r="H12" i="8"/>
  <c r="Y11" i="8"/>
  <c r="G42" i="8"/>
  <c r="G26" i="8"/>
  <c r="G12" i="8"/>
  <c r="X11" i="8"/>
  <c r="F42" i="8"/>
  <c r="F26" i="8"/>
  <c r="F12" i="8"/>
  <c r="W11" i="8"/>
  <c r="E42" i="8"/>
  <c r="E26" i="8"/>
  <c r="E12" i="8"/>
  <c r="V11" i="8"/>
  <c r="D42" i="8"/>
  <c r="D26" i="8"/>
  <c r="D12" i="8"/>
  <c r="U11" i="8"/>
  <c r="C42" i="8"/>
  <c r="C26" i="8"/>
  <c r="Q14" i="8"/>
  <c r="P14" i="8"/>
  <c r="C12" i="8"/>
  <c r="T11" i="8"/>
  <c r="T11" i="6"/>
  <c r="P14" i="6"/>
  <c r="Q14" i="6"/>
  <c r="C42" i="6"/>
  <c r="C26" i="6"/>
  <c r="Q15" i="5"/>
  <c r="P15" i="5"/>
  <c r="U12" i="5"/>
  <c r="D13" i="5"/>
  <c r="D14" i="5" s="1"/>
  <c r="V12" i="5"/>
  <c r="E13" i="5"/>
  <c r="E14" i="5" s="1"/>
  <c r="W12" i="5"/>
  <c r="F13" i="5"/>
  <c r="F14" i="5" s="1"/>
  <c r="X12" i="5"/>
  <c r="G13" i="5"/>
  <c r="G14" i="5" s="1"/>
  <c r="Y12" i="5"/>
  <c r="H13" i="5"/>
  <c r="H14" i="5" s="1"/>
  <c r="Z12" i="5"/>
  <c r="I13" i="5"/>
  <c r="I14" i="5" s="1"/>
  <c r="AA12" i="5"/>
  <c r="J13" i="5"/>
  <c r="J14" i="5" s="1"/>
  <c r="AB12" i="5"/>
  <c r="K13" i="5"/>
  <c r="K14" i="5" s="1"/>
  <c r="AC12" i="5"/>
  <c r="L13" i="5"/>
  <c r="L14" i="5" s="1"/>
  <c r="AD12" i="5"/>
  <c r="M13" i="5"/>
  <c r="M14" i="5" s="1"/>
  <c r="AE12" i="5"/>
  <c r="N13" i="5"/>
  <c r="N14" i="5" s="1"/>
  <c r="T12" i="5"/>
  <c r="C13" i="5"/>
  <c r="C43" i="8" l="1"/>
  <c r="C27" i="8"/>
  <c r="Q15" i="8"/>
  <c r="P15" i="8"/>
  <c r="C13" i="8"/>
  <c r="T12" i="8"/>
  <c r="D43" i="8"/>
  <c r="D27" i="8"/>
  <c r="D13" i="8"/>
  <c r="U12" i="8"/>
  <c r="E43" i="8"/>
  <c r="E27" i="8"/>
  <c r="E13" i="8"/>
  <c r="V12" i="8"/>
  <c r="F43" i="8"/>
  <c r="F27" i="8"/>
  <c r="F13" i="8"/>
  <c r="W12" i="8"/>
  <c r="G43" i="8"/>
  <c r="G27" i="8"/>
  <c r="G13" i="8"/>
  <c r="X12" i="8"/>
  <c r="H43" i="8"/>
  <c r="H27" i="8"/>
  <c r="H13" i="8"/>
  <c r="Y12" i="8"/>
  <c r="I43" i="8"/>
  <c r="I27" i="8"/>
  <c r="I13" i="8"/>
  <c r="Z12" i="8"/>
  <c r="J43" i="8"/>
  <c r="J27" i="8"/>
  <c r="J13" i="8"/>
  <c r="AA12" i="8"/>
  <c r="K43" i="8"/>
  <c r="K27" i="8"/>
  <c r="K13" i="8"/>
  <c r="AB12" i="8"/>
  <c r="L43" i="8"/>
  <c r="L27" i="8"/>
  <c r="L13" i="8"/>
  <c r="AC12" i="8"/>
  <c r="M43" i="8"/>
  <c r="M27" i="8"/>
  <c r="M13" i="8"/>
  <c r="AD12" i="8"/>
  <c r="N43" i="8"/>
  <c r="N27" i="8"/>
  <c r="N13" i="8"/>
  <c r="AE12" i="8"/>
  <c r="N15" i="5"/>
  <c r="M15" i="5"/>
  <c r="L15" i="5"/>
  <c r="K15" i="5"/>
  <c r="J15" i="5"/>
  <c r="I15" i="5"/>
  <c r="H15" i="5"/>
  <c r="G15" i="5"/>
  <c r="F15" i="5"/>
  <c r="E15" i="5"/>
  <c r="D15" i="5"/>
  <c r="T12" i="6"/>
  <c r="P15" i="6"/>
  <c r="Q15" i="6"/>
  <c r="C43" i="6"/>
  <c r="C27" i="6"/>
  <c r="Q16" i="5"/>
  <c r="P16" i="5"/>
  <c r="T13" i="5"/>
  <c r="C14" i="5"/>
  <c r="AE13" i="5"/>
  <c r="AE14" i="5" s="1"/>
  <c r="AE15" i="5" s="1"/>
  <c r="AD13" i="5"/>
  <c r="AD14" i="5" s="1"/>
  <c r="AD15" i="5" s="1"/>
  <c r="AC13" i="5"/>
  <c r="AC14" i="5" s="1"/>
  <c r="AC15" i="5" s="1"/>
  <c r="AB13" i="5"/>
  <c r="AB14" i="5" s="1"/>
  <c r="AB15" i="5" s="1"/>
  <c r="AA13" i="5"/>
  <c r="AA14" i="5" s="1"/>
  <c r="AA15" i="5" s="1"/>
  <c r="Z13" i="5"/>
  <c r="Z14" i="5" s="1"/>
  <c r="Z15" i="5" s="1"/>
  <c r="Y13" i="5"/>
  <c r="Y14" i="5" s="1"/>
  <c r="Y15" i="5" s="1"/>
  <c r="X13" i="5"/>
  <c r="X14" i="5" s="1"/>
  <c r="X15" i="5" s="1"/>
  <c r="W13" i="5"/>
  <c r="W14" i="5" s="1"/>
  <c r="W15" i="5" s="1"/>
  <c r="V13" i="5"/>
  <c r="V14" i="5" s="1"/>
  <c r="V15" i="5" s="1"/>
  <c r="U13" i="5"/>
  <c r="U14" i="5" s="1"/>
  <c r="U15" i="5" s="1"/>
  <c r="N44" i="8" l="1"/>
  <c r="N28" i="8"/>
  <c r="N14" i="8"/>
  <c r="AE13" i="8"/>
  <c r="M44" i="8"/>
  <c r="M28" i="8"/>
  <c r="M14" i="8"/>
  <c r="AD13" i="8"/>
  <c r="L44" i="8"/>
  <c r="L28" i="8"/>
  <c r="L14" i="8"/>
  <c r="AC13" i="8"/>
  <c r="K44" i="8"/>
  <c r="K28" i="8"/>
  <c r="K14" i="8"/>
  <c r="AB13" i="8"/>
  <c r="J44" i="8"/>
  <c r="J28" i="8"/>
  <c r="J14" i="8"/>
  <c r="AA13" i="8"/>
  <c r="I44" i="8"/>
  <c r="I28" i="8"/>
  <c r="I14" i="8"/>
  <c r="Z13" i="8"/>
  <c r="H44" i="8"/>
  <c r="H28" i="8"/>
  <c r="H14" i="8"/>
  <c r="Y13" i="8"/>
  <c r="G44" i="8"/>
  <c r="G28" i="8"/>
  <c r="G14" i="8"/>
  <c r="X13" i="8"/>
  <c r="F44" i="8"/>
  <c r="F28" i="8"/>
  <c r="F14" i="8"/>
  <c r="W13" i="8"/>
  <c r="E44" i="8"/>
  <c r="E28" i="8"/>
  <c r="E14" i="8"/>
  <c r="V13" i="8"/>
  <c r="D44" i="8"/>
  <c r="D28" i="8"/>
  <c r="D14" i="8"/>
  <c r="U13" i="8"/>
  <c r="C44" i="8"/>
  <c r="C28" i="8"/>
  <c r="Q16" i="8"/>
  <c r="P16" i="8"/>
  <c r="C14" i="8"/>
  <c r="T13" i="8"/>
  <c r="T14" i="5"/>
  <c r="C15" i="5"/>
  <c r="T15" i="5" s="1"/>
  <c r="P16" i="6"/>
  <c r="Q16" i="6"/>
  <c r="T13" i="6"/>
  <c r="T14" i="6" s="1"/>
  <c r="C44" i="6"/>
  <c r="C28" i="6"/>
  <c r="U19" i="5"/>
  <c r="V19" i="5"/>
  <c r="W19" i="5"/>
  <c r="X19" i="5"/>
  <c r="Y19" i="5"/>
  <c r="Z19" i="5"/>
  <c r="AA19" i="5"/>
  <c r="AB19" i="5"/>
  <c r="AC19" i="5"/>
  <c r="AD19" i="5"/>
  <c r="AE19" i="5"/>
  <c r="T19" i="5"/>
  <c r="Q18" i="5"/>
  <c r="P18" i="5"/>
  <c r="Q17" i="5"/>
  <c r="P17" i="5"/>
  <c r="C45" i="8" l="1"/>
  <c r="C29" i="8"/>
  <c r="Q17" i="8"/>
  <c r="P17" i="8"/>
  <c r="C15" i="8"/>
  <c r="T14" i="8"/>
  <c r="D45" i="8"/>
  <c r="D29" i="8"/>
  <c r="D15" i="8"/>
  <c r="U14" i="8"/>
  <c r="E45" i="8"/>
  <c r="E29" i="8"/>
  <c r="E15" i="8"/>
  <c r="V14" i="8"/>
  <c r="F45" i="8"/>
  <c r="F29" i="8"/>
  <c r="F15" i="8"/>
  <c r="W14" i="8"/>
  <c r="G45" i="8"/>
  <c r="G29" i="8"/>
  <c r="G15" i="8"/>
  <c r="X14" i="8"/>
  <c r="H45" i="8"/>
  <c r="H29" i="8"/>
  <c r="H15" i="8"/>
  <c r="Y14" i="8"/>
  <c r="I45" i="8"/>
  <c r="I29" i="8"/>
  <c r="I15" i="8"/>
  <c r="Z14" i="8"/>
  <c r="J45" i="8"/>
  <c r="J29" i="8"/>
  <c r="J15" i="8"/>
  <c r="AA14" i="8"/>
  <c r="K45" i="8"/>
  <c r="K29" i="8"/>
  <c r="K15" i="8"/>
  <c r="AB14" i="8"/>
  <c r="L45" i="8"/>
  <c r="L29" i="8"/>
  <c r="L15" i="8"/>
  <c r="AC14" i="8"/>
  <c r="M45" i="8"/>
  <c r="M29" i="8"/>
  <c r="M15" i="8"/>
  <c r="AD14" i="8"/>
  <c r="N45" i="8"/>
  <c r="N29" i="8"/>
  <c r="N15" i="8"/>
  <c r="AE14" i="8"/>
  <c r="C45" i="6"/>
  <c r="C29" i="6"/>
  <c r="P17" i="6"/>
  <c r="Q17" i="6"/>
  <c r="N46" i="8" l="1"/>
  <c r="N30" i="8"/>
  <c r="AE19" i="8" s="1"/>
  <c r="AE22" i="8" s="1"/>
  <c r="AE15" i="8"/>
  <c r="M46" i="8"/>
  <c r="M30" i="8"/>
  <c r="AD19" i="8" s="1"/>
  <c r="AD22" i="8" s="1"/>
  <c r="AD15" i="8"/>
  <c r="L46" i="8"/>
  <c r="L30" i="8"/>
  <c r="AC19" i="8" s="1"/>
  <c r="AC22" i="8" s="1"/>
  <c r="AC15" i="8"/>
  <c r="K46" i="8"/>
  <c r="K30" i="8"/>
  <c r="AB19" i="8" s="1"/>
  <c r="AB22" i="8" s="1"/>
  <c r="AB15" i="8"/>
  <c r="J46" i="8"/>
  <c r="J30" i="8"/>
  <c r="AA19" i="8" s="1"/>
  <c r="AA22" i="8" s="1"/>
  <c r="AA15" i="8"/>
  <c r="I46" i="8"/>
  <c r="I30" i="8"/>
  <c r="Z19" i="8" s="1"/>
  <c r="Z22" i="8" s="1"/>
  <c r="Z15" i="8"/>
  <c r="H46" i="8"/>
  <c r="H30" i="8"/>
  <c r="Y19" i="8" s="1"/>
  <c r="Y22" i="8" s="1"/>
  <c r="Y15" i="8"/>
  <c r="G46" i="8"/>
  <c r="G30" i="8"/>
  <c r="X19" i="8" s="1"/>
  <c r="X22" i="8" s="1"/>
  <c r="X15" i="8"/>
  <c r="F46" i="8"/>
  <c r="F30" i="8"/>
  <c r="W19" i="8" s="1"/>
  <c r="W22" i="8" s="1"/>
  <c r="W15" i="8"/>
  <c r="E46" i="8"/>
  <c r="E30" i="8"/>
  <c r="V19" i="8" s="1"/>
  <c r="V22" i="8" s="1"/>
  <c r="V15" i="8"/>
  <c r="D46" i="8"/>
  <c r="U22" i="8"/>
  <c r="U15" i="8"/>
  <c r="C46" i="8"/>
  <c r="C30" i="8"/>
  <c r="T22" i="8" s="1"/>
  <c r="Q24" i="8" s="1"/>
  <c r="Q18" i="8"/>
  <c r="P18" i="8"/>
  <c r="T15" i="8"/>
  <c r="C30" i="6"/>
  <c r="T15" i="6"/>
  <c r="C31" i="6" s="1"/>
  <c r="C46" i="6"/>
  <c r="P18" i="6"/>
  <c r="Q18" i="6"/>
  <c r="C47" i="8" l="1"/>
  <c r="C31" i="8"/>
  <c r="D47" i="8"/>
  <c r="D31" i="8"/>
  <c r="T45" i="8" s="1"/>
  <c r="E47" i="8"/>
  <c r="E31" i="8"/>
  <c r="U45" i="8" s="1"/>
  <c r="F47" i="8"/>
  <c r="F31" i="8"/>
  <c r="V45" i="8" s="1"/>
  <c r="G47" i="8"/>
  <c r="G31" i="8"/>
  <c r="W45" i="8" s="1"/>
  <c r="H47" i="8"/>
  <c r="H31" i="8"/>
  <c r="X45" i="8" s="1"/>
  <c r="I47" i="8"/>
  <c r="I31" i="8"/>
  <c r="Y45" i="8" s="1"/>
  <c r="J47" i="8"/>
  <c r="J31" i="8"/>
  <c r="Z45" i="8" s="1"/>
  <c r="K47" i="8"/>
  <c r="K31" i="8"/>
  <c r="AA45" i="8" s="1"/>
  <c r="L47" i="8"/>
  <c r="L31" i="8"/>
  <c r="AB45" i="8" s="1"/>
  <c r="M47" i="8"/>
  <c r="M31" i="8"/>
  <c r="AC45" i="8" s="1"/>
  <c r="N47" i="8"/>
  <c r="N31" i="8"/>
  <c r="AD45" i="8" s="1"/>
  <c r="T19" i="6"/>
  <c r="T22" i="6" s="1"/>
  <c r="Q24" i="6" s="1"/>
  <c r="C47" i="6"/>
  <c r="S4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<sst xmlns="http://schemas.openxmlformats.org/spreadsheetml/2006/main" count="539" uniqueCount="148">
  <si>
    <t>Calcul de Sr</t>
  </si>
  <si>
    <t> </t>
  </si>
  <si>
    <t>Jan</t>
  </si>
  <si>
    <t>Fév</t>
  </si>
  <si>
    <t>Mars</t>
  </si>
  <si>
    <t>Avril</t>
  </si>
  <si>
    <t>Mai</t>
  </si>
  <si>
    <t>Juin</t>
  </si>
  <si>
    <t>Juil</t>
  </si>
  <si>
    <t>Août</t>
  </si>
  <si>
    <t>Sept</t>
  </si>
  <si>
    <t>Oct</t>
  </si>
  <si>
    <t>Nov</t>
  </si>
  <si>
    <t>Déc</t>
  </si>
  <si>
    <t>Xi.</t>
  </si>
  <si>
    <t>Ecart Type i.</t>
  </si>
  <si>
    <t>X.j</t>
  </si>
  <si>
    <t>Ecart Type .j</t>
  </si>
  <si>
    <t>N</t>
  </si>
  <si>
    <t>Désignation</t>
  </si>
  <si>
    <t>SDC</t>
  </si>
  <si>
    <t>DDL</t>
  </si>
  <si>
    <t>Variance</t>
  </si>
  <si>
    <t>Test de Saisonnalité</t>
  </si>
  <si>
    <t>Nu1</t>
  </si>
  <si>
    <t>Nu2</t>
  </si>
  <si>
    <t>p</t>
  </si>
  <si>
    <t>Sp</t>
  </si>
  <si>
    <t>Vp</t>
  </si>
  <si>
    <t>Fisher calculé</t>
  </si>
  <si>
    <t>Fc</t>
  </si>
  <si>
    <t>x..</t>
  </si>
  <si>
    <t>Sa</t>
  </si>
  <si>
    <t>Va</t>
  </si>
  <si>
    <t>Fisher lu dans la table</t>
  </si>
  <si>
    <t>F(0.05,11,99)</t>
  </si>
  <si>
    <t>Série non saisonnière</t>
  </si>
  <si>
    <t>Sr</t>
  </si>
  <si>
    <t>Vr</t>
  </si>
  <si>
    <t>St</t>
  </si>
  <si>
    <t>Vt</t>
  </si>
  <si>
    <t>Test de tendance</t>
  </si>
  <si>
    <t>F(0.05,9,99)</t>
  </si>
  <si>
    <t>Absence de tendence</t>
  </si>
  <si>
    <t>Lamda</t>
  </si>
  <si>
    <t>^x1</t>
  </si>
  <si>
    <t>^^x1</t>
  </si>
  <si>
    <t>^x2</t>
  </si>
  <si>
    <t>LamdaB</t>
  </si>
  <si>
    <t>^^x2</t>
  </si>
  <si>
    <t>^x3</t>
  </si>
  <si>
    <t>^^x3</t>
  </si>
  <si>
    <t>^x4</t>
  </si>
  <si>
    <t>at</t>
  </si>
  <si>
    <t>bt</t>
  </si>
  <si>
    <t>^^x4</t>
  </si>
  <si>
    <t>^x5</t>
  </si>
  <si>
    <t>^^x5</t>
  </si>
  <si>
    <t>^x6</t>
  </si>
  <si>
    <t>^^x6</t>
  </si>
  <si>
    <t>^x7</t>
  </si>
  <si>
    <t>^^x7</t>
  </si>
  <si>
    <t>^x8</t>
  </si>
  <si>
    <t>^^x8</t>
  </si>
  <si>
    <t>^x9</t>
  </si>
  <si>
    <t>^^x9</t>
  </si>
  <si>
    <t>^x10</t>
  </si>
  <si>
    <t>^^x10</t>
  </si>
  <si>
    <t>^x11</t>
  </si>
  <si>
    <t>^^x11</t>
  </si>
  <si>
    <t>^x12</t>
  </si>
  <si>
    <t>^^x12</t>
  </si>
  <si>
    <t>hw11</t>
  </si>
  <si>
    <t>RMSE</t>
  </si>
  <si>
    <t>Mois</t>
  </si>
  <si>
    <t>Données</t>
  </si>
  <si>
    <t>1er lissage</t>
  </si>
  <si>
    <t>2eme lissage</t>
  </si>
  <si>
    <t>a</t>
  </si>
  <si>
    <t>b</t>
  </si>
  <si>
    <t>Prévision</t>
  </si>
  <si>
    <t>Prev 2022</t>
  </si>
  <si>
    <t>a1</t>
  </si>
  <si>
    <t>a2</t>
  </si>
  <si>
    <t>a3</t>
  </si>
  <si>
    <t>Residu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</si>
  <si>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</si>
  <si>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</si>
  <si>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</si>
  <si>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</si>
  <si>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</si>
  <si>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</si>
  <si>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</si>
  <si>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</si>
  <si>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</si>
  <si>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</si>
  <si>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</si>
  <si>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</si>
  <si>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</si>
  <si>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</si>
  <si>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</si>
  <si>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</si>
  <si>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</si>
  <si>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</si>
  <si>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</si>
  <si>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Prev 2023</t>
  </si>
  <si>
    <t>b11</t>
  </si>
  <si>
    <t>b12</t>
  </si>
  <si>
    <t>i ~ années</t>
  </si>
  <si>
    <t>j ~ mois</t>
  </si>
  <si>
    <t>Pour calcul de Sr</t>
  </si>
  <si>
    <t>Calcul Sa</t>
  </si>
  <si>
    <t>Ecartype - i</t>
  </si>
  <si>
    <t>Calcul Sp</t>
  </si>
  <si>
    <t>SD</t>
  </si>
  <si>
    <t>EcartType - j</t>
  </si>
  <si>
    <t>Exercice C1EX1 : Tests de saisonnalité et de tendance</t>
  </si>
  <si>
    <t>Pour le Calcul de Sr</t>
  </si>
  <si>
    <t>T1</t>
  </si>
  <si>
    <t>T2</t>
  </si>
  <si>
    <t>T3</t>
  </si>
  <si>
    <t>T4</t>
  </si>
  <si>
    <t>Moyennes Années</t>
  </si>
  <si>
    <t>Pour calcul de Sa</t>
  </si>
  <si>
    <t>Moyennes périodes</t>
  </si>
  <si>
    <t>Pour Calcul de Sp</t>
  </si>
  <si>
    <t>Nombre d'années</t>
  </si>
  <si>
    <t>Nb d'observations dans l'année</t>
  </si>
  <si>
    <t>Moyenne générale</t>
  </si>
  <si>
    <t>Sommes des carrés</t>
  </si>
  <si>
    <t>Degrès de liberté</t>
  </si>
  <si>
    <t>Série saisonnière</t>
  </si>
  <si>
    <t>Variance Période</t>
  </si>
  <si>
    <t>Variance Année</t>
  </si>
  <si>
    <t>Variance Résidu</t>
  </si>
  <si>
    <t>Variance Totale</t>
  </si>
  <si>
    <t>Présence Tendance</t>
  </si>
  <si>
    <t>Holt-Winter</t>
  </si>
  <si>
    <t>alpha</t>
  </si>
  <si>
    <t>0.9075442</t>
  </si>
  <si>
    <t>beta</t>
  </si>
  <si>
    <t>0.01644042</t>
  </si>
  <si>
    <t>gamma</t>
  </si>
  <si>
    <t>RMSE 2022</t>
  </si>
  <si>
    <t>10.00006</t>
  </si>
  <si>
    <t>Lissage exponential double</t>
  </si>
  <si>
    <t>4.919414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</si>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</sst>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BE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A9D9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8F7"/>
        <bgColor indexed="64"/>
      </patternFill>
    </fill>
    <fill>
      <patternFill patternType="solid">
        <fgColor rgb="FFDEB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/>
    <xf numFmtId="0" fontId="4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1" fillId="0" borderId="5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9" fillId="0" borderId="0" xfId="0" applyFont="1"/>
    <xf numFmtId="0" fontId="8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4" xfId="0" applyFont="1" applyBorder="1"/>
    <xf numFmtId="0" fontId="9" fillId="0" borderId="15" xfId="0" applyFont="1" applyBorder="1"/>
    <xf numFmtId="0" fontId="8" fillId="0" borderId="15" xfId="0" applyFont="1" applyBorder="1"/>
    <xf numFmtId="0" fontId="1" fillId="0" borderId="15" xfId="0" applyFont="1" applyBorder="1"/>
    <xf numFmtId="0" fontId="0" fillId="0" borderId="16" xfId="0" applyBorder="1"/>
    <xf numFmtId="0" fontId="8" fillId="0" borderId="17" xfId="0" applyFont="1" applyBorder="1"/>
    <xf numFmtId="0" fontId="0" fillId="0" borderId="18" xfId="0" applyBorder="1"/>
    <xf numFmtId="0" fontId="0" fillId="0" borderId="9" xfId="0" applyBorder="1"/>
    <xf numFmtId="0" fontId="9" fillId="0" borderId="9" xfId="0" applyFont="1" applyBorder="1"/>
    <xf numFmtId="0" fontId="0" fillId="0" borderId="20" xfId="0" applyBorder="1"/>
    <xf numFmtId="0" fontId="4" fillId="0" borderId="14" xfId="0" applyFont="1" applyBorder="1"/>
    <xf numFmtId="0" fontId="1" fillId="0" borderId="16" xfId="0" applyFont="1" applyBorder="1"/>
    <xf numFmtId="0" fontId="4" fillId="0" borderId="17" xfId="0" applyFont="1" applyBorder="1"/>
    <xf numFmtId="0" fontId="1" fillId="0" borderId="18" xfId="0" applyFont="1" applyBorder="1"/>
    <xf numFmtId="0" fontId="4" fillId="0" borderId="19" xfId="0" applyFont="1" applyBorder="1"/>
    <xf numFmtId="0" fontId="7" fillId="0" borderId="20" xfId="0" applyFont="1" applyBorder="1"/>
    <xf numFmtId="0" fontId="1" fillId="0" borderId="14" xfId="0" applyFont="1" applyBorder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3" fillId="0" borderId="3" xfId="0" applyFont="1" applyBorder="1"/>
    <xf numFmtId="0" fontId="3" fillId="0" borderId="22" xfId="0" applyFont="1" applyBorder="1"/>
    <xf numFmtId="0" fontId="12" fillId="0" borderId="8" xfId="0" applyFont="1" applyBorder="1"/>
    <xf numFmtId="0" fontId="3" fillId="0" borderId="23" xfId="0" applyFont="1" applyBorder="1"/>
    <xf numFmtId="0" fontId="12" fillId="0" borderId="5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0" borderId="5" xfId="0" applyFont="1" applyBorder="1"/>
    <xf numFmtId="0" fontId="7" fillId="0" borderId="11" xfId="0" applyFont="1" applyBorder="1"/>
    <xf numFmtId="0" fontId="14" fillId="0" borderId="11" xfId="0" applyFont="1" applyBorder="1"/>
    <xf numFmtId="0" fontId="15" fillId="0" borderId="11" xfId="0" applyFont="1" applyBorder="1"/>
    <xf numFmtId="0" fontId="2" fillId="0" borderId="5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/>
    <xf numFmtId="0" fontId="8" fillId="0" borderId="38" xfId="0" applyFont="1" applyBorder="1"/>
    <xf numFmtId="0" fontId="1" fillId="0" borderId="38" xfId="0" applyFont="1" applyBorder="1"/>
    <xf numFmtId="0" fontId="0" fillId="0" borderId="41" xfId="0" applyBorder="1"/>
    <xf numFmtId="0" fontId="1" fillId="0" borderId="43" xfId="0" applyFont="1" applyBorder="1"/>
    <xf numFmtId="0" fontId="0" fillId="0" borderId="43" xfId="0" applyBorder="1"/>
    <xf numFmtId="0" fontId="0" fillId="0" borderId="44" xfId="0" applyBorder="1"/>
    <xf numFmtId="0" fontId="2" fillId="2" borderId="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16" fillId="3" borderId="5" xfId="0" applyFont="1" applyFill="1" applyBorder="1"/>
    <xf numFmtId="0" fontId="17" fillId="4" borderId="34" xfId="0" applyFont="1" applyFill="1" applyBorder="1" applyAlignment="1">
      <alignment horizontal="center"/>
    </xf>
    <xf numFmtId="0" fontId="17" fillId="4" borderId="31" xfId="0" applyFont="1" applyFill="1" applyBorder="1" applyAlignment="1">
      <alignment horizontal="center"/>
    </xf>
    <xf numFmtId="0" fontId="17" fillId="5" borderId="27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0" fillId="6" borderId="25" xfId="0" applyFill="1" applyBorder="1"/>
    <xf numFmtId="0" fontId="0" fillId="6" borderId="26" xfId="0" applyFill="1" applyBorder="1"/>
    <xf numFmtId="0" fontId="0" fillId="6" borderId="28" xfId="0" applyFill="1" applyBorder="1"/>
    <xf numFmtId="0" fontId="0" fillId="6" borderId="29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5" xfId="0" applyFill="1" applyBorder="1"/>
    <xf numFmtId="0" fontId="0" fillId="7" borderId="36" xfId="0" applyFill="1" applyBorder="1"/>
    <xf numFmtId="0" fontId="16" fillId="8" borderId="30" xfId="0" applyFont="1" applyFill="1" applyBorder="1"/>
    <xf numFmtId="0" fontId="2" fillId="10" borderId="21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39" xfId="0" applyFont="1" applyBorder="1"/>
    <xf numFmtId="0" fontId="1" fillId="0" borderId="41" xfId="0" applyFont="1" applyBorder="1"/>
    <xf numFmtId="0" fontId="7" fillId="0" borderId="44" xfId="0" applyFont="1" applyBorder="1"/>
    <xf numFmtId="0" fontId="1" fillId="0" borderId="49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/>
    <xf numFmtId="0" fontId="13" fillId="13" borderId="38" xfId="0" applyFont="1" applyFill="1" applyBorder="1"/>
    <xf numFmtId="0" fontId="2" fillId="14" borderId="40" xfId="0" applyFont="1" applyFill="1" applyBorder="1" applyAlignment="1">
      <alignment horizontal="center"/>
    </xf>
    <xf numFmtId="0" fontId="2" fillId="14" borderId="42" xfId="0" applyFont="1" applyFill="1" applyBorder="1" applyAlignment="1">
      <alignment horizontal="center"/>
    </xf>
    <xf numFmtId="0" fontId="13" fillId="14" borderId="45" xfId="0" applyFont="1" applyFill="1" applyBorder="1"/>
    <xf numFmtId="0" fontId="13" fillId="13" borderId="21" xfId="0" applyFont="1" applyFill="1" applyBorder="1" applyAlignment="1">
      <alignment horizontal="center"/>
    </xf>
    <xf numFmtId="0" fontId="18" fillId="13" borderId="5" xfId="0" applyFont="1" applyFill="1" applyBorder="1" applyAlignment="1">
      <alignment horizontal="center"/>
    </xf>
    <xf numFmtId="0" fontId="13" fillId="13" borderId="5" xfId="0" applyFont="1" applyFill="1" applyBorder="1" applyAlignment="1">
      <alignment horizontal="center"/>
    </xf>
    <xf numFmtId="0" fontId="13" fillId="13" borderId="43" xfId="0" applyFont="1" applyFill="1" applyBorder="1" applyAlignment="1">
      <alignment horizontal="center"/>
    </xf>
    <xf numFmtId="0" fontId="1" fillId="15" borderId="38" xfId="0" applyFont="1" applyFill="1" applyBorder="1" applyAlignment="1">
      <alignment horizontal="center"/>
    </xf>
    <xf numFmtId="0" fontId="1" fillId="15" borderId="39" xfId="0" applyFont="1" applyFill="1" applyBorder="1"/>
    <xf numFmtId="0" fontId="13" fillId="16" borderId="38" xfId="0" applyFont="1" applyFill="1" applyBorder="1" applyAlignment="1">
      <alignment horizontal="center"/>
    </xf>
    <xf numFmtId="0" fontId="2" fillId="17" borderId="37" xfId="0" applyFont="1" applyFill="1" applyBorder="1"/>
    <xf numFmtId="0" fontId="2" fillId="17" borderId="40" xfId="0" applyFont="1" applyFill="1" applyBorder="1"/>
    <xf numFmtId="0" fontId="2" fillId="17" borderId="42" xfId="0" applyFont="1" applyFill="1" applyBorder="1"/>
    <xf numFmtId="0" fontId="2" fillId="2" borderId="5" xfId="0" applyFont="1" applyFill="1" applyBorder="1" applyAlignment="1">
      <alignment horizontal="center"/>
    </xf>
    <xf numFmtId="0" fontId="16" fillId="18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6" fillId="19" borderId="5" xfId="0" applyFont="1" applyFill="1" applyBorder="1"/>
    <xf numFmtId="0" fontId="0" fillId="20" borderId="5" xfId="0" applyFill="1" applyBorder="1"/>
    <xf numFmtId="0" fontId="16" fillId="6" borderId="5" xfId="0" applyFont="1" applyFill="1" applyBorder="1"/>
    <xf numFmtId="0" fontId="16" fillId="21" borderId="5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16" fillId="18" borderId="14" xfId="0" applyFont="1" applyFill="1" applyBorder="1" applyAlignment="1">
      <alignment horizontal="center"/>
    </xf>
    <xf numFmtId="0" fontId="0" fillId="20" borderId="11" xfId="0" applyFill="1" applyBorder="1"/>
    <xf numFmtId="0" fontId="16" fillId="18" borderId="5" xfId="0" applyFont="1" applyFill="1" applyBorder="1" applyAlignment="1">
      <alignment horizontal="center"/>
    </xf>
    <xf numFmtId="0" fontId="0" fillId="13" borderId="5" xfId="0" applyFill="1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7" fillId="0" borderId="16" xfId="0" applyFont="1" applyBorder="1"/>
    <xf numFmtId="0" fontId="4" fillId="0" borderId="13" xfId="0" applyFont="1" applyBorder="1"/>
    <xf numFmtId="0" fontId="0" fillId="0" borderId="13" xfId="0" applyBorder="1"/>
    <xf numFmtId="0" fontId="19" fillId="0" borderId="5" xfId="0" applyFont="1" applyBorder="1"/>
    <xf numFmtId="0" fontId="19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5" xfId="0" applyFont="1" applyBorder="1"/>
    <xf numFmtId="0" fontId="7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3" fillId="2" borderId="11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18" borderId="5" xfId="0" applyFont="1" applyFill="1" applyBorder="1" applyAlignment="1">
      <alignment horizontal="center"/>
    </xf>
    <xf numFmtId="0" fontId="16" fillId="18" borderId="11" xfId="0" applyFont="1" applyFill="1" applyBorder="1" applyAlignment="1">
      <alignment horizontal="center"/>
    </xf>
    <xf numFmtId="0" fontId="16" fillId="22" borderId="5" xfId="0" applyFont="1" applyFill="1" applyBorder="1" applyAlignment="1">
      <alignment horizontal="center"/>
    </xf>
    <xf numFmtId="0" fontId="16" fillId="14" borderId="5" xfId="0" applyFont="1" applyFill="1" applyBorder="1"/>
    <xf numFmtId="0" fontId="16" fillId="18" borderId="0" xfId="0" applyFont="1" applyFill="1" applyAlignment="1">
      <alignment horizontal="center"/>
    </xf>
    <xf numFmtId="0" fontId="20" fillId="18" borderId="5" xfId="0" applyFont="1" applyFill="1" applyBorder="1"/>
    <xf numFmtId="0" fontId="16" fillId="9" borderId="27" xfId="0" applyFont="1" applyFill="1" applyBorder="1" applyAlignment="1">
      <alignment horizontal="center"/>
    </xf>
    <xf numFmtId="0" fontId="16" fillId="9" borderId="28" xfId="0" applyFont="1" applyFill="1" applyBorder="1" applyAlignment="1">
      <alignment horizontal="center"/>
    </xf>
    <xf numFmtId="0" fontId="16" fillId="9" borderId="29" xfId="0" applyFont="1" applyFill="1" applyBorder="1" applyAlignment="1">
      <alignment horizontal="center"/>
    </xf>
    <xf numFmtId="0" fontId="8" fillId="0" borderId="47" xfId="0" applyFont="1" applyBorder="1" applyAlignment="1">
      <alignment horizontal="center" wrapText="1"/>
    </xf>
    <xf numFmtId="0" fontId="8" fillId="0" borderId="48" xfId="0" applyFont="1" applyBorder="1" applyAlignment="1">
      <alignment horizontal="center" wrapText="1"/>
    </xf>
    <xf numFmtId="0" fontId="9" fillId="12" borderId="50" xfId="0" applyFont="1" applyFill="1" applyBorder="1" applyAlignment="1">
      <alignment horizontal="center"/>
    </xf>
    <xf numFmtId="0" fontId="9" fillId="12" borderId="5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8" fillId="0" borderId="19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EB9FA"/>
      <color rgb="FFF0BEFA"/>
      <color rgb="FFC6E8F7"/>
      <color rgb="FFFA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Exponential_Smoothing!$S$19</c:f>
              <c:strCache>
                <c:ptCount val="1"/>
                <c:pt idx="0">
                  <c:v>^^x11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Exponential_Smoothing!$T$19:$AE$19</c:f>
              <c:numCache>
                <c:formatCode>General</c:formatCode>
                <c:ptCount val="12"/>
                <c:pt idx="0">
                  <c:v>51.657462694147611</c:v>
                </c:pt>
                <c:pt idx="1">
                  <c:v>53.515395783846124</c:v>
                </c:pt>
                <c:pt idx="2">
                  <c:v>49.379944570466392</c:v>
                </c:pt>
                <c:pt idx="3">
                  <c:v>51.818875017448505</c:v>
                </c:pt>
                <c:pt idx="4">
                  <c:v>50.458970099698767</c:v>
                </c:pt>
                <c:pt idx="5">
                  <c:v>50.154343829722393</c:v>
                </c:pt>
                <c:pt idx="6">
                  <c:v>50.582648895437295</c:v>
                </c:pt>
                <c:pt idx="7">
                  <c:v>50.791932672819499</c:v>
                </c:pt>
                <c:pt idx="8">
                  <c:v>51.13890998396613</c:v>
                </c:pt>
                <c:pt idx="9">
                  <c:v>51.39771057190849</c:v>
                </c:pt>
                <c:pt idx="10">
                  <c:v>54.664232162787023</c:v>
                </c:pt>
                <c:pt idx="11">
                  <c:v>55.928706564705678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6-4B8B-9139-6443A6B9BA03}"/>
            </c:ext>
          </c:extLst>
        </c:ser>
        <c:ser>
          <c:idx val="1"/>
          <c:order val="1"/>
          <c:tx>
            <c:strRef>
              <c:f>Exponential_Smoothing!$S$20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Exponential_Smoothing!$T$20:$AE$20</c:f>
              <c:numCache>
                <c:formatCode>General</c:formatCode>
                <c:ptCount val="12"/>
                <c:pt idx="0">
                  <c:v>62.991512809070571</c:v>
                </c:pt>
                <c:pt idx="1">
                  <c:v>52.509809512456187</c:v>
                </c:pt>
                <c:pt idx="2">
                  <c:v>51.935366834831441</c:v>
                </c:pt>
                <c:pt idx="3">
                  <c:v>49.699754825406366</c:v>
                </c:pt>
                <c:pt idx="4">
                  <c:v>53.090605941098566</c:v>
                </c:pt>
                <c:pt idx="5">
                  <c:v>45.376756382947249</c:v>
                </c:pt>
                <c:pt idx="6">
                  <c:v>46.016498719574216</c:v>
                </c:pt>
                <c:pt idx="7">
                  <c:v>46.478972220334327</c:v>
                </c:pt>
                <c:pt idx="8">
                  <c:v>43.597508315723488</c:v>
                </c:pt>
                <c:pt idx="9">
                  <c:v>47.512840460810942</c:v>
                </c:pt>
                <c:pt idx="10">
                  <c:v>53.410107121784264</c:v>
                </c:pt>
                <c:pt idx="11">
                  <c:v>53.250116905735624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6-4B8B-9139-6443A6B9BA03}"/>
            </c:ext>
          </c:extLst>
        </c:ser>
        <c:ser>
          <c:idx val="2"/>
          <c:order val="2"/>
          <c:tx>
            <c:strRef>
              <c:f>Exponential_Smoothing!$S$21</c:f>
              <c:strCache>
                <c:ptCount val="1"/>
                <c:pt idx="0">
                  <c:v>hw11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Exponential_Smoothing!$T$21:$AE$21</c:f>
              <c:numCache>
                <c:formatCode>General</c:formatCode>
                <c:ptCount val="12"/>
                <c:pt idx="0">
                  <c:v>60.796660000000003</c:v>
                </c:pt>
                <c:pt idx="1">
                  <c:v>61.302819999999997</c:v>
                </c:pt>
                <c:pt idx="2">
                  <c:v>56.917319999999997</c:v>
                </c:pt>
                <c:pt idx="3">
                  <c:v>57.68235</c:v>
                </c:pt>
                <c:pt idx="4">
                  <c:v>56.973739999999999</c:v>
                </c:pt>
                <c:pt idx="5">
                  <c:v>55.396619999999999</c:v>
                </c:pt>
                <c:pt idx="6">
                  <c:v>55.86018</c:v>
                </c:pt>
                <c:pt idx="7">
                  <c:v>56.95194</c:v>
                </c:pt>
                <c:pt idx="8">
                  <c:v>59.218510000000002</c:v>
                </c:pt>
                <c:pt idx="9">
                  <c:v>61.477449999999997</c:v>
                </c:pt>
                <c:pt idx="10">
                  <c:v>64.712389999999999</c:v>
                </c:pt>
                <c:pt idx="11">
                  <c:v>65.103970000000004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F6-4B8B-9139-6443A6B9B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308679"/>
        <c:axId val="1865341447"/>
      </c:lineChart>
      <c:catAx>
        <c:axId val="1865308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41447"/>
        <c:crosses val="autoZero"/>
        <c:auto val="1"/>
        <c:lblAlgn val="ctr"/>
        <c:lblOffset val="100"/>
        <c:noMultiLvlLbl val="0"/>
      </c:catAx>
      <c:valAx>
        <c:axId val="1865341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08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Exponential_Smoothing!$S$19</c:f>
              <c:strCache>
                <c:ptCount val="1"/>
                <c:pt idx="0">
                  <c:v>^^x11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Exponential_Smoothing!$T$19:$AE$19</c:f>
              <c:numCache>
                <c:formatCode>General</c:formatCode>
                <c:ptCount val="12"/>
                <c:pt idx="0">
                  <c:v>51.657462694147611</c:v>
                </c:pt>
                <c:pt idx="1">
                  <c:v>53.515395783846124</c:v>
                </c:pt>
                <c:pt idx="2">
                  <c:v>49.379944570466392</c:v>
                </c:pt>
                <c:pt idx="3">
                  <c:v>51.818875017448505</c:v>
                </c:pt>
                <c:pt idx="4">
                  <c:v>50.458970099698767</c:v>
                </c:pt>
                <c:pt idx="5">
                  <c:v>50.154343829722393</c:v>
                </c:pt>
                <c:pt idx="6">
                  <c:v>50.582648895437295</c:v>
                </c:pt>
                <c:pt idx="7">
                  <c:v>50.791932672819499</c:v>
                </c:pt>
                <c:pt idx="8">
                  <c:v>51.13890998396613</c:v>
                </c:pt>
                <c:pt idx="9">
                  <c:v>51.39771057190849</c:v>
                </c:pt>
                <c:pt idx="10">
                  <c:v>54.664232162787023</c:v>
                </c:pt>
                <c:pt idx="11">
                  <c:v>55.928706564705678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0-4AD2-813A-45F987C24F73}"/>
            </c:ext>
          </c:extLst>
        </c:ser>
        <c:ser>
          <c:idx val="1"/>
          <c:order val="1"/>
          <c:tx>
            <c:strRef>
              <c:f>Exponential_Smoothing!$S$20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Exponential_Smoothing!$T$20:$AE$20</c:f>
              <c:numCache>
                <c:formatCode>General</c:formatCode>
                <c:ptCount val="12"/>
                <c:pt idx="0">
                  <c:v>62.991512809070571</c:v>
                </c:pt>
                <c:pt idx="1">
                  <c:v>52.509809512456187</c:v>
                </c:pt>
                <c:pt idx="2">
                  <c:v>51.935366834831441</c:v>
                </c:pt>
                <c:pt idx="3">
                  <c:v>49.699754825406366</c:v>
                </c:pt>
                <c:pt idx="4">
                  <c:v>53.090605941098566</c:v>
                </c:pt>
                <c:pt idx="5">
                  <c:v>45.376756382947249</c:v>
                </c:pt>
                <c:pt idx="6">
                  <c:v>46.016498719574216</c:v>
                </c:pt>
                <c:pt idx="7">
                  <c:v>46.478972220334327</c:v>
                </c:pt>
                <c:pt idx="8">
                  <c:v>43.597508315723488</c:v>
                </c:pt>
                <c:pt idx="9">
                  <c:v>47.512840460810942</c:v>
                </c:pt>
                <c:pt idx="10">
                  <c:v>53.410107121784264</c:v>
                </c:pt>
                <c:pt idx="11">
                  <c:v>53.250116905735624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0-4AD2-813A-45F987C24F73}"/>
            </c:ext>
          </c:extLst>
        </c:ser>
        <c:ser>
          <c:idx val="2"/>
          <c:order val="2"/>
          <c:tx>
            <c:strRef>
              <c:f>Exponential_Smoothing!$S$21</c:f>
              <c:strCache>
                <c:ptCount val="1"/>
                <c:pt idx="0">
                  <c:v>hw11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Exponential_Smoothing!$T$21:$AE$21</c:f>
              <c:numCache>
                <c:formatCode>General</c:formatCode>
                <c:ptCount val="12"/>
                <c:pt idx="0">
                  <c:v>60.796660000000003</c:v>
                </c:pt>
                <c:pt idx="1">
                  <c:v>61.302819999999997</c:v>
                </c:pt>
                <c:pt idx="2">
                  <c:v>56.917319999999997</c:v>
                </c:pt>
                <c:pt idx="3">
                  <c:v>57.68235</c:v>
                </c:pt>
                <c:pt idx="4">
                  <c:v>56.973739999999999</c:v>
                </c:pt>
                <c:pt idx="5">
                  <c:v>55.396619999999999</c:v>
                </c:pt>
                <c:pt idx="6">
                  <c:v>55.86018</c:v>
                </c:pt>
                <c:pt idx="7">
                  <c:v>56.95194</c:v>
                </c:pt>
                <c:pt idx="8">
                  <c:v>59.218510000000002</c:v>
                </c:pt>
                <c:pt idx="9">
                  <c:v>61.477449999999997</c:v>
                </c:pt>
                <c:pt idx="10">
                  <c:v>64.712389999999999</c:v>
                </c:pt>
                <c:pt idx="11">
                  <c:v>65.103970000000004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0-4AD2-813A-45F987C24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308679"/>
        <c:axId val="1865341447"/>
      </c:lineChart>
      <c:catAx>
        <c:axId val="1865308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41447"/>
        <c:crosses val="autoZero"/>
        <c:auto val="1"/>
        <c:lblAlgn val="ctr"/>
        <c:lblOffset val="100"/>
        <c:noMultiLvlLbl val="0"/>
      </c:catAx>
      <c:valAx>
        <c:axId val="1865341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08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Exponential_Smoothing!$S$19</c:f>
              <c:strCache>
                <c:ptCount val="1"/>
                <c:pt idx="0">
                  <c:v>^^x11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Exponential_Smoothing!$T$19:$AE$19</c:f>
              <c:numCache>
                <c:formatCode>General</c:formatCode>
                <c:ptCount val="12"/>
                <c:pt idx="0">
                  <c:v>51.657462694147611</c:v>
                </c:pt>
                <c:pt idx="1">
                  <c:v>53.515395783846124</c:v>
                </c:pt>
                <c:pt idx="2">
                  <c:v>49.379944570466392</c:v>
                </c:pt>
                <c:pt idx="3">
                  <c:v>51.818875017448505</c:v>
                </c:pt>
                <c:pt idx="4">
                  <c:v>50.458970099698767</c:v>
                </c:pt>
                <c:pt idx="5">
                  <c:v>50.154343829722393</c:v>
                </c:pt>
                <c:pt idx="6">
                  <c:v>50.582648895437295</c:v>
                </c:pt>
                <c:pt idx="7">
                  <c:v>50.791932672819499</c:v>
                </c:pt>
                <c:pt idx="8">
                  <c:v>51.13890998396613</c:v>
                </c:pt>
                <c:pt idx="9">
                  <c:v>51.39771057190849</c:v>
                </c:pt>
                <c:pt idx="10">
                  <c:v>54.664232162787023</c:v>
                </c:pt>
                <c:pt idx="11">
                  <c:v>55.928706564705678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F-4C42-9DF6-0B8FC7176272}"/>
            </c:ext>
          </c:extLst>
        </c:ser>
        <c:ser>
          <c:idx val="1"/>
          <c:order val="1"/>
          <c:tx>
            <c:strRef>
              <c:f>Exponential_Smoothing!$S$20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Exponential_Smoothing!$T$20:$AE$20</c:f>
              <c:numCache>
                <c:formatCode>General</c:formatCode>
                <c:ptCount val="12"/>
                <c:pt idx="0">
                  <c:v>62.991512809070571</c:v>
                </c:pt>
                <c:pt idx="1">
                  <c:v>52.509809512456187</c:v>
                </c:pt>
                <c:pt idx="2">
                  <c:v>51.935366834831441</c:v>
                </c:pt>
                <c:pt idx="3">
                  <c:v>49.699754825406366</c:v>
                </c:pt>
                <c:pt idx="4">
                  <c:v>53.090605941098566</c:v>
                </c:pt>
                <c:pt idx="5">
                  <c:v>45.376756382947249</c:v>
                </c:pt>
                <c:pt idx="6">
                  <c:v>46.016498719574216</c:v>
                </c:pt>
                <c:pt idx="7">
                  <c:v>46.478972220334327</c:v>
                </c:pt>
                <c:pt idx="8">
                  <c:v>43.597508315723488</c:v>
                </c:pt>
                <c:pt idx="9">
                  <c:v>47.512840460810942</c:v>
                </c:pt>
                <c:pt idx="10">
                  <c:v>53.410107121784264</c:v>
                </c:pt>
                <c:pt idx="11">
                  <c:v>53.250116905735624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F-4C42-9DF6-0B8FC7176272}"/>
            </c:ext>
          </c:extLst>
        </c:ser>
        <c:ser>
          <c:idx val="2"/>
          <c:order val="2"/>
          <c:tx>
            <c:strRef>
              <c:f>Exponential_Smoothing!$S$21</c:f>
              <c:strCache>
                <c:ptCount val="1"/>
                <c:pt idx="0">
                  <c:v>hw11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Exponential_Smoothing!$T$18:$AE$18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Exponential_Smoothing!$T$21:$AE$21</c:f>
              <c:numCache>
                <c:formatCode>General</c:formatCode>
                <c:ptCount val="12"/>
                <c:pt idx="0">
                  <c:v>60.796660000000003</c:v>
                </c:pt>
                <c:pt idx="1">
                  <c:v>61.302819999999997</c:v>
                </c:pt>
                <c:pt idx="2">
                  <c:v>56.917319999999997</c:v>
                </c:pt>
                <c:pt idx="3">
                  <c:v>57.68235</c:v>
                </c:pt>
                <c:pt idx="4">
                  <c:v>56.973739999999999</c:v>
                </c:pt>
                <c:pt idx="5">
                  <c:v>55.396619999999999</c:v>
                </c:pt>
                <c:pt idx="6">
                  <c:v>55.86018</c:v>
                </c:pt>
                <c:pt idx="7">
                  <c:v>56.95194</c:v>
                </c:pt>
                <c:pt idx="8">
                  <c:v>59.218510000000002</c:v>
                </c:pt>
                <c:pt idx="9">
                  <c:v>61.477449999999997</c:v>
                </c:pt>
                <c:pt idx="10">
                  <c:v>64.712389999999999</c:v>
                </c:pt>
                <c:pt idx="11">
                  <c:v>65.103970000000004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F-4C42-9DF6-0B8FC717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308679"/>
        <c:axId val="1865341447"/>
      </c:lineChart>
      <c:catAx>
        <c:axId val="1865308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41447"/>
        <c:crosses val="autoZero"/>
        <c:auto val="1"/>
        <c:lblAlgn val="ctr"/>
        <c:lblOffset val="100"/>
        <c:noMultiLvlLbl val="0"/>
      </c:catAx>
      <c:valAx>
        <c:axId val="1865341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865308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22</xdr:row>
      <xdr:rowOff>19050</xdr:rowOff>
    </xdr:from>
    <xdr:to>
      <xdr:col>28</xdr:col>
      <xdr:colOff>590550</xdr:colOff>
      <xdr:row>38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73ECBD-1722-BE20-165A-64D3957CE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23</xdr:row>
      <xdr:rowOff>66675</xdr:rowOff>
    </xdr:from>
    <xdr:to>
      <xdr:col>28</xdr:col>
      <xdr:colOff>590550</xdr:colOff>
      <xdr:row>39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5E4E60-106E-4B6D-864C-EB2F9EC4F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23</xdr:row>
      <xdr:rowOff>66675</xdr:rowOff>
    </xdr:from>
    <xdr:to>
      <xdr:col>28</xdr:col>
      <xdr:colOff>590550</xdr:colOff>
      <xdr:row>39</xdr:row>
      <xdr:rowOff>66675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864F3108-92D8-4484-B8D7-26DFF854F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87-7AF9-450C-8524-5C1613B6303F}">
  <dimension ref="B2:AF50"/>
  <sheetViews>
    <sheetView tabSelected="1" topLeftCell="A22" workbookViewId="0">
      <selection activeCell="K46" sqref="K46"/>
    </sheetView>
  </sheetViews>
  <sheetFormatPr baseColWidth="10" defaultColWidth="8.83203125" defaultRowHeight="15" x14ac:dyDescent="0.2"/>
  <cols>
    <col min="2" max="2" width="12.5" customWidth="1"/>
    <col min="6" max="6" width="11" customWidth="1"/>
    <col min="9" max="9" width="11" customWidth="1"/>
    <col min="16" max="16" width="13.5" customWidth="1"/>
    <col min="17" max="17" width="12.33203125" customWidth="1"/>
    <col min="18" max="18" width="9.33203125" bestFit="1" customWidth="1"/>
    <col min="21" max="21" width="9.33203125" bestFit="1" customWidth="1"/>
  </cols>
  <sheetData>
    <row r="2" spans="2:32" x14ac:dyDescent="0.2">
      <c r="B2" s="4"/>
      <c r="C2" s="4"/>
      <c r="D2" s="4"/>
      <c r="E2" s="4"/>
      <c r="F2" s="4"/>
      <c r="G2" s="4"/>
      <c r="H2" s="4"/>
      <c r="I2" s="8"/>
      <c r="J2" s="1"/>
    </row>
    <row r="3" spans="2:32" x14ac:dyDescent="0.2">
      <c r="B3" s="77">
        <v>2022</v>
      </c>
      <c r="C3" s="77">
        <v>4.1429999999999998</v>
      </c>
      <c r="D3" s="77">
        <v>3.9609999999999999</v>
      </c>
      <c r="E3" s="77">
        <v>3.95</v>
      </c>
      <c r="F3" s="77">
        <v>3.9060000000000001</v>
      </c>
      <c r="G3" s="77">
        <v>3.972</v>
      </c>
      <c r="H3" s="77">
        <v>3.8149999999999999</v>
      </c>
      <c r="I3" s="77">
        <v>3.8290000000000002</v>
      </c>
      <c r="J3" s="78">
        <v>3.839</v>
      </c>
      <c r="K3" s="79">
        <v>3.7749999999999999</v>
      </c>
      <c r="L3" s="79">
        <v>3.8610000000000002</v>
      </c>
      <c r="M3" s="79">
        <v>3.9780000000000002</v>
      </c>
      <c r="N3" s="79">
        <v>3.9750000000000001</v>
      </c>
      <c r="P3" s="9">
        <v>2023</v>
      </c>
      <c r="Q3" s="9">
        <v>4.1399999999999997</v>
      </c>
      <c r="R3" s="9">
        <v>4.1900000000000004</v>
      </c>
      <c r="S3" s="9">
        <v>3.92</v>
      </c>
    </row>
    <row r="4" spans="2:32" x14ac:dyDescent="0.2">
      <c r="B4" s="95">
        <v>2022</v>
      </c>
      <c r="C4" s="76">
        <f>EXP(C$3)</f>
        <v>62.991512809070571</v>
      </c>
      <c r="D4" s="76">
        <f t="shared" ref="D4:N4" si="0">EXP(D$3)</f>
        <v>52.509809512456187</v>
      </c>
      <c r="E4" s="76">
        <f t="shared" si="0"/>
        <v>51.935366834831441</v>
      </c>
      <c r="F4" s="76">
        <f t="shared" si="0"/>
        <v>49.699754825406366</v>
      </c>
      <c r="G4" s="76">
        <f t="shared" si="0"/>
        <v>53.090605941098566</v>
      </c>
      <c r="H4" s="76">
        <f t="shared" si="0"/>
        <v>45.376756382947249</v>
      </c>
      <c r="I4" s="76">
        <f t="shared" si="0"/>
        <v>46.016498719574216</v>
      </c>
      <c r="J4" s="76">
        <f t="shared" si="0"/>
        <v>46.478972220334327</v>
      </c>
      <c r="K4" s="76">
        <f t="shared" si="0"/>
        <v>43.597508315723488</v>
      </c>
      <c r="L4" s="76">
        <f t="shared" si="0"/>
        <v>47.512840460810942</v>
      </c>
      <c r="M4" s="76">
        <f t="shared" si="0"/>
        <v>53.410107121784264</v>
      </c>
      <c r="N4" s="76">
        <f t="shared" si="0"/>
        <v>53.250116905735624</v>
      </c>
      <c r="P4" s="96">
        <v>2023</v>
      </c>
      <c r="Q4" s="76">
        <f t="shared" ref="Q4:S4" si="1">EXP(Q$3)</f>
        <v>62.802821449201652</v>
      </c>
      <c r="R4" s="76">
        <f t="shared" si="1"/>
        <v>66.022790960409949</v>
      </c>
      <c r="S4" s="76">
        <f t="shared" si="1"/>
        <v>50.400444778065484</v>
      </c>
    </row>
    <row r="6" spans="2:32" x14ac:dyDescent="0.2">
      <c r="T6" s="166" t="s">
        <v>0</v>
      </c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8"/>
    </row>
    <row r="7" spans="2:32" x14ac:dyDescent="0.2">
      <c r="B7" s="3" t="s">
        <v>1</v>
      </c>
      <c r="C7" s="91" t="s">
        <v>2</v>
      </c>
      <c r="D7" s="91" t="s">
        <v>3</v>
      </c>
      <c r="E7" s="91" t="s">
        <v>4</v>
      </c>
      <c r="F7" s="91" t="s">
        <v>5</v>
      </c>
      <c r="G7" s="91" t="s">
        <v>6</v>
      </c>
      <c r="H7" s="91" t="s">
        <v>7</v>
      </c>
      <c r="I7" s="91" t="s">
        <v>8</v>
      </c>
      <c r="J7" s="91" t="s">
        <v>9</v>
      </c>
      <c r="K7" s="91" t="s">
        <v>10</v>
      </c>
      <c r="L7" s="91" t="s">
        <v>11</v>
      </c>
      <c r="M7" s="91" t="s">
        <v>12</v>
      </c>
      <c r="N7" s="92" t="s">
        <v>13</v>
      </c>
      <c r="O7" s="98" t="s">
        <v>14</v>
      </c>
      <c r="P7" s="100" t="s">
        <v>15</v>
      </c>
      <c r="T7" s="52" t="s">
        <v>1</v>
      </c>
      <c r="U7" s="110" t="s">
        <v>2</v>
      </c>
      <c r="V7" s="110" t="s">
        <v>3</v>
      </c>
      <c r="W7" s="110" t="s">
        <v>4</v>
      </c>
      <c r="X7" s="110" t="s">
        <v>5</v>
      </c>
      <c r="Y7" s="110" t="s">
        <v>6</v>
      </c>
      <c r="Z7" s="110" t="s">
        <v>7</v>
      </c>
      <c r="AA7" s="110" t="s">
        <v>8</v>
      </c>
      <c r="AB7" s="110" t="s">
        <v>9</v>
      </c>
      <c r="AC7" s="110" t="s">
        <v>10</v>
      </c>
      <c r="AD7" s="110" t="s">
        <v>11</v>
      </c>
      <c r="AE7" s="110" t="s">
        <v>12</v>
      </c>
      <c r="AF7" s="110" t="s">
        <v>13</v>
      </c>
    </row>
    <row r="8" spans="2:32" x14ac:dyDescent="0.2">
      <c r="B8" s="93">
        <v>2012</v>
      </c>
      <c r="C8" s="59">
        <v>32.369999999999997</v>
      </c>
      <c r="D8" s="59">
        <v>36.6</v>
      </c>
      <c r="E8" s="59">
        <v>35.58</v>
      </c>
      <c r="F8" s="59">
        <v>30.35</v>
      </c>
      <c r="G8" s="59">
        <v>25.73</v>
      </c>
      <c r="H8" s="59">
        <v>30.33</v>
      </c>
      <c r="I8" s="59">
        <v>30.17</v>
      </c>
      <c r="J8" s="59">
        <v>34.6</v>
      </c>
      <c r="K8" s="59">
        <v>36.979999999999997</v>
      </c>
      <c r="L8" s="59">
        <v>38.81</v>
      </c>
      <c r="M8" s="59">
        <v>42.94</v>
      </c>
      <c r="N8" s="82">
        <v>42.6</v>
      </c>
      <c r="O8" s="105">
        <f>AVERAGE(C8:N8)</f>
        <v>34.755000000000003</v>
      </c>
      <c r="P8" s="101">
        <f>STDEV(C8:N8)</f>
        <v>5.2326449074318688</v>
      </c>
      <c r="T8" s="111">
        <v>2012</v>
      </c>
      <c r="U8" s="83">
        <f>POWER(C8-C$19-$O8+$O$19,2)</f>
        <v>8.1379795715449816</v>
      </c>
      <c r="V8" s="83">
        <f t="shared" ref="V8:AF8" si="2">POWER(D8-D$19-$O8+$O$19,2)</f>
        <v>1.5583765100932361</v>
      </c>
      <c r="W8" s="83">
        <f t="shared" si="2"/>
        <v>3.0074771778924019</v>
      </c>
      <c r="X8" s="83">
        <f t="shared" si="2"/>
        <v>18.200385380557965</v>
      </c>
      <c r="Y8" s="83">
        <f t="shared" si="2"/>
        <v>60.286686301642533</v>
      </c>
      <c r="Z8" s="83">
        <f t="shared" si="2"/>
        <v>2.4180538982439113</v>
      </c>
      <c r="AA8" s="83">
        <f t="shared" si="2"/>
        <v>12.221281564208978</v>
      </c>
      <c r="AB8" s="83">
        <f t="shared" si="2"/>
        <v>0.77163159071184351</v>
      </c>
      <c r="AC8" s="83">
        <f t="shared" si="2"/>
        <v>7.4599231418344942</v>
      </c>
      <c r="AD8" s="83">
        <f t="shared" si="2"/>
        <v>11.142737853470541</v>
      </c>
      <c r="AE8" s="83">
        <f t="shared" si="2"/>
        <v>27.755221532032671</v>
      </c>
      <c r="AF8" s="83">
        <f t="shared" si="2"/>
        <v>22.42585334412469</v>
      </c>
    </row>
    <row r="9" spans="2:32" x14ac:dyDescent="0.2">
      <c r="B9" s="93">
        <v>2013</v>
      </c>
      <c r="C9" s="59">
        <v>46.21</v>
      </c>
      <c r="D9" s="59">
        <v>43.1</v>
      </c>
      <c r="E9" s="59">
        <v>40.04</v>
      </c>
      <c r="F9" s="59">
        <v>42.31</v>
      </c>
      <c r="G9" s="59">
        <v>45.33</v>
      </c>
      <c r="H9" s="59">
        <v>41.97</v>
      </c>
      <c r="I9" s="59">
        <v>48.63</v>
      </c>
      <c r="J9" s="59">
        <v>47.4</v>
      </c>
      <c r="K9" s="63">
        <v>50</v>
      </c>
      <c r="L9" s="59">
        <v>54.54</v>
      </c>
      <c r="M9" s="59">
        <v>55.25</v>
      </c>
      <c r="N9" s="82">
        <v>56.7</v>
      </c>
      <c r="O9" s="105">
        <f t="shared" ref="O9:O18" si="3">AVERAGE(C9:N9)</f>
        <v>47.623333333333335</v>
      </c>
      <c r="P9" s="101">
        <f t="shared" ref="P9:P18" si="4">STDEV(C9:N9)</f>
        <v>5.5638448663643985</v>
      </c>
      <c r="T9" s="111">
        <v>2013</v>
      </c>
      <c r="U9" s="83">
        <f t="shared" ref="U9:U18" si="5">POWER(C9-C$19-$O9+$O$19,2)</f>
        <v>3.538340656564146</v>
      </c>
      <c r="V9" s="83">
        <f>POWER(D9-D$19-$O9+$O$19,2)</f>
        <v>26.214234306178028</v>
      </c>
      <c r="W9" s="83">
        <f t="shared" ref="W9:W18" si="6">POWER(E9-E$19-$O9+$O$19,2)</f>
        <v>44.543949770811487</v>
      </c>
      <c r="X9" s="83">
        <f t="shared" ref="X9:X18" si="7">POWER(F9-F$19-$O9+$O$19,2)</f>
        <v>26.775701751291059</v>
      </c>
      <c r="Y9" s="83">
        <f t="shared" ref="Y9:Y18" si="8">POWER(G9-G$19-$O9+$O$19,2)</f>
        <v>1.0666417460329687</v>
      </c>
      <c r="Z9" s="83">
        <f t="shared" ref="Z9:Z18" si="9">POWER(H9-H$19-$O9+$O$19,2)</f>
        <v>7.7469961700646914</v>
      </c>
      <c r="AA9" s="83">
        <f t="shared" ref="AA9:AA18" si="10">POWER(I9-I$19-$O9+$O$19,2)</f>
        <v>4.3922590507475672</v>
      </c>
      <c r="AB9" s="83">
        <f t="shared" ref="AB9:AB18" si="11">POWER(J9-J$19-$O9+$O$19,2)</f>
        <v>0.65624953213516923</v>
      </c>
      <c r="AC9" s="83">
        <f t="shared" ref="AC9:AC18" si="12">POWER(K9-K$19-$O9+$O$19,2)</f>
        <v>8.3114160022829839</v>
      </c>
      <c r="AD9" s="83">
        <f t="shared" ref="AD9:AD18" si="13">POWER(L9-L$19-$O9+$O$19,2)</f>
        <v>38.436784007028862</v>
      </c>
      <c r="AE9" s="83">
        <f t="shared" ref="AE9:AE18" si="14">POWER(M9-M$19-$O9+$O$19,2)</f>
        <v>22.183997563924088</v>
      </c>
      <c r="AF9" s="83">
        <f t="shared" ref="AF9:AF18" si="15">POWER(N9-N$19-$O9+$O$19,2)</f>
        <v>35.608203406415583</v>
      </c>
    </row>
    <row r="10" spans="2:32" x14ac:dyDescent="0.2">
      <c r="B10" s="93">
        <v>2014</v>
      </c>
      <c r="C10" s="59">
        <v>57.45</v>
      </c>
      <c r="D10" s="59">
        <v>59.5</v>
      </c>
      <c r="E10" s="59">
        <v>55.99</v>
      </c>
      <c r="F10" s="59">
        <v>54.11</v>
      </c>
      <c r="G10" s="59">
        <v>51.37</v>
      </c>
      <c r="H10" s="59">
        <v>49.54</v>
      </c>
      <c r="I10" s="59">
        <v>49.5</v>
      </c>
      <c r="J10" s="59">
        <v>51.4</v>
      </c>
      <c r="K10" s="59">
        <v>52.52</v>
      </c>
      <c r="L10" s="59">
        <v>50.14</v>
      </c>
      <c r="M10" s="59">
        <v>51.56</v>
      </c>
      <c r="N10" s="82">
        <v>49.3</v>
      </c>
      <c r="O10" s="105">
        <f t="shared" si="3"/>
        <v>52.698333333333323</v>
      </c>
      <c r="P10" s="101">
        <f t="shared" si="4"/>
        <v>3.36755598815125</v>
      </c>
      <c r="T10" s="111">
        <v>2014</v>
      </c>
      <c r="U10" s="83">
        <f>POWER(C10-C$19-$O10+$O$19,2)</f>
        <v>18.352246837500765</v>
      </c>
      <c r="V10" s="83">
        <f t="shared" ref="V10:V18" si="16">POWER(D10-D$19-$O10+$O$19,2)</f>
        <v>38.502225807252174</v>
      </c>
      <c r="W10" s="83">
        <f t="shared" si="6"/>
        <v>17.647347457868698</v>
      </c>
      <c r="X10" s="83">
        <f t="shared" si="7"/>
        <v>2.4039748902976186</v>
      </c>
      <c r="Y10" s="83">
        <f t="shared" si="8"/>
        <v>4.5946020952145773E-3</v>
      </c>
      <c r="Z10" s="83">
        <f t="shared" si="9"/>
        <v>8.3141469591077974E-2</v>
      </c>
      <c r="AA10" s="83">
        <f t="shared" si="10"/>
        <v>4.448843989087254</v>
      </c>
      <c r="AB10" s="83">
        <f t="shared" si="11"/>
        <v>7.0176090298913599E-2</v>
      </c>
      <c r="AC10" s="83">
        <f t="shared" si="12"/>
        <v>0.10755294293318358</v>
      </c>
      <c r="AD10" s="83">
        <f t="shared" si="13"/>
        <v>10.727323873280495</v>
      </c>
      <c r="AE10" s="83">
        <f t="shared" si="14"/>
        <v>16.443113190939233</v>
      </c>
      <c r="AF10" s="83">
        <f t="shared" si="15"/>
        <v>42.35066736728988</v>
      </c>
    </row>
    <row r="11" spans="2:32" x14ac:dyDescent="0.2">
      <c r="B11" s="93">
        <v>2015</v>
      </c>
      <c r="C11" s="59">
        <v>46.78</v>
      </c>
      <c r="D11" s="59">
        <v>52.1</v>
      </c>
      <c r="E11" s="59">
        <v>56.57</v>
      </c>
      <c r="F11" s="59">
        <v>56.44</v>
      </c>
      <c r="G11" s="59">
        <v>54.93</v>
      </c>
      <c r="H11" s="59">
        <v>54.15</v>
      </c>
      <c r="I11" s="59">
        <v>59.31</v>
      </c>
      <c r="J11" s="59">
        <v>56.3</v>
      </c>
      <c r="K11" s="59">
        <v>52.46</v>
      </c>
      <c r="L11" s="59">
        <v>55.26</v>
      </c>
      <c r="M11" s="59">
        <v>56.11</v>
      </c>
      <c r="N11" s="82">
        <v>52.2</v>
      </c>
      <c r="O11" s="105">
        <f t="shared" si="3"/>
        <v>54.384166666666665</v>
      </c>
      <c r="P11" s="101">
        <f t="shared" si="4"/>
        <v>3.1987311641658875</v>
      </c>
      <c r="T11" s="111">
        <v>2015</v>
      </c>
      <c r="U11" s="83">
        <f t="shared" si="5"/>
        <v>65.155264304080006</v>
      </c>
      <c r="V11" s="83">
        <f t="shared" si="16"/>
        <v>8.2991074648156822</v>
      </c>
      <c r="W11" s="83">
        <f t="shared" si="6"/>
        <v>9.5792804813762817</v>
      </c>
      <c r="X11" s="83">
        <f t="shared" si="7"/>
        <v>4.8164551090855294</v>
      </c>
      <c r="Y11" s="83">
        <f t="shared" si="8"/>
        <v>3.2630201655241264</v>
      </c>
      <c r="Z11" s="83">
        <f t="shared" si="9"/>
        <v>6.9475683768071237</v>
      </c>
      <c r="AA11" s="83">
        <f t="shared" si="10"/>
        <v>36.17948364729039</v>
      </c>
      <c r="AB11" s="83">
        <f t="shared" si="11"/>
        <v>8.6981284437840038</v>
      </c>
      <c r="AC11" s="83">
        <f t="shared" si="12"/>
        <v>2.0103856222641543</v>
      </c>
      <c r="AD11" s="83">
        <f t="shared" si="13"/>
        <v>2.525153220846028E-2</v>
      </c>
      <c r="AE11" s="83">
        <f t="shared" si="14"/>
        <v>1.4181099269267139</v>
      </c>
      <c r="AF11" s="83">
        <f t="shared" si="15"/>
        <v>28.021908434747463</v>
      </c>
    </row>
    <row r="12" spans="2:32" x14ac:dyDescent="0.2">
      <c r="B12" s="93">
        <v>2016</v>
      </c>
      <c r="C12" s="59">
        <v>43.72</v>
      </c>
      <c r="D12" s="63">
        <v>43</v>
      </c>
      <c r="E12" s="59">
        <v>44.23</v>
      </c>
      <c r="F12" s="59">
        <v>46.24</v>
      </c>
      <c r="G12" s="59">
        <v>49.76</v>
      </c>
      <c r="H12" s="59">
        <v>39.76</v>
      </c>
      <c r="I12" s="59">
        <v>44.35</v>
      </c>
      <c r="J12" s="59">
        <v>45.6</v>
      </c>
      <c r="K12" s="59">
        <v>45.77</v>
      </c>
      <c r="L12" s="59">
        <v>52.84</v>
      </c>
      <c r="M12" s="59">
        <v>54.78</v>
      </c>
      <c r="N12" s="82">
        <v>60.6</v>
      </c>
      <c r="O12" s="105">
        <f t="shared" si="3"/>
        <v>47.554166666666667</v>
      </c>
      <c r="P12" s="101">
        <f t="shared" si="4"/>
        <v>5.8887279971351054</v>
      </c>
      <c r="T12" s="111">
        <v>2016</v>
      </c>
      <c r="U12" s="83">
        <f t="shared" si="5"/>
        <v>18.506180898099633</v>
      </c>
      <c r="V12" s="83">
        <f t="shared" si="16"/>
        <v>26.530917336123601</v>
      </c>
      <c r="W12" s="83">
        <f t="shared" si="6"/>
        <v>5.8320256532673369</v>
      </c>
      <c r="X12" s="83">
        <f t="shared" si="7"/>
        <v>1.3814655707779244</v>
      </c>
      <c r="Y12" s="83">
        <f t="shared" si="8"/>
        <v>12.015812297886807</v>
      </c>
      <c r="Z12" s="83">
        <f t="shared" si="9"/>
        <v>24.247508872029741</v>
      </c>
      <c r="AA12" s="83">
        <f t="shared" si="10"/>
        <v>4.4734856802753695</v>
      </c>
      <c r="AB12" s="83">
        <f t="shared" si="11"/>
        <v>0.84776405317348991</v>
      </c>
      <c r="AC12" s="83">
        <f t="shared" si="12"/>
        <v>1.6329790319088922</v>
      </c>
      <c r="AD12" s="83">
        <f t="shared" si="13"/>
        <v>20.874913979683964</v>
      </c>
      <c r="AE12" s="83">
        <f t="shared" si="14"/>
        <v>18.568823642623574</v>
      </c>
      <c r="AF12" s="83">
        <f t="shared" si="15"/>
        <v>98.732594049380751</v>
      </c>
    </row>
    <row r="13" spans="2:32" x14ac:dyDescent="0.2">
      <c r="B13" s="93">
        <v>2017</v>
      </c>
      <c r="C13" s="59">
        <v>59.18</v>
      </c>
      <c r="D13" s="59">
        <v>55.1</v>
      </c>
      <c r="E13" s="59">
        <v>62.43</v>
      </c>
      <c r="F13" s="59">
        <v>64.78</v>
      </c>
      <c r="G13" s="59">
        <v>62.82</v>
      </c>
      <c r="H13" s="59">
        <v>63.06</v>
      </c>
      <c r="I13" s="59">
        <v>65.569999999999993</v>
      </c>
      <c r="J13" s="59">
        <v>63.9</v>
      </c>
      <c r="K13" s="59">
        <v>68.25</v>
      </c>
      <c r="L13" s="59">
        <v>67.040000000000006</v>
      </c>
      <c r="M13" s="59">
        <v>63.58</v>
      </c>
      <c r="N13" s="82">
        <v>62.3</v>
      </c>
      <c r="O13" s="105">
        <f t="shared" si="3"/>
        <v>63.16749999999999</v>
      </c>
      <c r="P13" s="101">
        <f t="shared" si="4"/>
        <v>3.4683035543986844</v>
      </c>
      <c r="T13" s="111">
        <v>2017</v>
      </c>
      <c r="U13" s="83">
        <f t="shared" si="5"/>
        <v>19.848935542964043</v>
      </c>
      <c r="V13" s="83">
        <f t="shared" si="16"/>
        <v>75.067503637188281</v>
      </c>
      <c r="W13" s="83">
        <f t="shared" si="6"/>
        <v>2.9483616533635373E-2</v>
      </c>
      <c r="X13" s="83">
        <f t="shared" si="7"/>
        <v>3.067083323465813</v>
      </c>
      <c r="Y13" s="83">
        <f t="shared" si="8"/>
        <v>0.83366000861677103</v>
      </c>
      <c r="Z13" s="83">
        <f t="shared" si="9"/>
        <v>7.6313549117196899</v>
      </c>
      <c r="AA13" s="83">
        <f t="shared" si="10"/>
        <v>12.191305762489089</v>
      </c>
      <c r="AB13" s="83">
        <f t="shared" si="11"/>
        <v>3.118493337266615</v>
      </c>
      <c r="AC13" s="83">
        <f t="shared" si="12"/>
        <v>31.23452880654779</v>
      </c>
      <c r="AD13" s="83">
        <f t="shared" si="13"/>
        <v>9.9576471030932598</v>
      </c>
      <c r="AE13" s="83">
        <f t="shared" si="14"/>
        <v>6.2709051568350205</v>
      </c>
      <c r="AF13" s="83">
        <f t="shared" si="15"/>
        <v>15.815778971943068</v>
      </c>
    </row>
    <row r="14" spans="2:32" x14ac:dyDescent="0.2">
      <c r="B14" s="93">
        <v>2018</v>
      </c>
      <c r="C14" s="59">
        <v>66.599999999999994</v>
      </c>
      <c r="D14" s="59">
        <v>65.400000000000006</v>
      </c>
      <c r="E14" s="59">
        <v>60.17</v>
      </c>
      <c r="F14" s="59">
        <v>63.98</v>
      </c>
      <c r="G14" s="59">
        <v>53.06</v>
      </c>
      <c r="H14" s="59">
        <v>53.19</v>
      </c>
      <c r="I14" s="59">
        <v>55.67</v>
      </c>
      <c r="J14" s="59">
        <v>50.6</v>
      </c>
      <c r="K14" s="59">
        <v>52.71</v>
      </c>
      <c r="L14" s="59">
        <v>46.13</v>
      </c>
      <c r="M14" s="59">
        <v>44.38</v>
      </c>
      <c r="N14" s="82">
        <v>39.5</v>
      </c>
      <c r="O14" s="105">
        <f t="shared" si="3"/>
        <v>54.282500000000006</v>
      </c>
      <c r="P14" s="101">
        <f t="shared" si="4"/>
        <v>8.569054392511303</v>
      </c>
      <c r="T14" s="111">
        <v>2018</v>
      </c>
      <c r="U14" s="83">
        <f t="shared" si="5"/>
        <v>140.41741825264265</v>
      </c>
      <c r="V14" s="83">
        <f t="shared" si="16"/>
        <v>110.68827450457084</v>
      </c>
      <c r="W14" s="83">
        <f>POWER(E14-E$19-$O14+$O$19,2)</f>
        <v>46.195238816694825</v>
      </c>
      <c r="X14" s="83">
        <f t="shared" si="7"/>
        <v>96.752975361215448</v>
      </c>
      <c r="Y14" s="83">
        <f t="shared" si="8"/>
        <v>1.4477902528775143E-3</v>
      </c>
      <c r="Z14" s="83">
        <f t="shared" si="9"/>
        <v>3.1594732169833817</v>
      </c>
      <c r="AA14" s="83">
        <f t="shared" si="10"/>
        <v>6.1335725292147254</v>
      </c>
      <c r="AB14" s="83">
        <f t="shared" si="11"/>
        <v>7.0175950079266984</v>
      </c>
      <c r="AC14" s="83">
        <f t="shared" si="12"/>
        <v>1.1368123218876618</v>
      </c>
      <c r="AD14" s="83">
        <f t="shared" si="13"/>
        <v>78.666718037131176</v>
      </c>
      <c r="AE14" s="83">
        <f t="shared" si="14"/>
        <v>164.33131282760854</v>
      </c>
      <c r="AF14" s="83">
        <f t="shared" si="15"/>
        <v>320.12028969129409</v>
      </c>
    </row>
    <row r="15" spans="2:32" x14ac:dyDescent="0.2">
      <c r="B15" s="93">
        <v>2019</v>
      </c>
      <c r="C15" s="59">
        <v>40.97</v>
      </c>
      <c r="D15" s="59">
        <v>45.1</v>
      </c>
      <c r="E15" s="59">
        <v>42.61</v>
      </c>
      <c r="F15" s="59">
        <v>47.45</v>
      </c>
      <c r="G15" s="59">
        <v>40.880000000000003</v>
      </c>
      <c r="H15" s="59">
        <v>41.76</v>
      </c>
      <c r="I15" s="59">
        <v>42.18</v>
      </c>
      <c r="J15" s="63">
        <v>41</v>
      </c>
      <c r="K15" s="59">
        <v>44.67</v>
      </c>
      <c r="L15" s="59">
        <v>46.81</v>
      </c>
      <c r="M15" s="59">
        <v>50.97</v>
      </c>
      <c r="N15" s="82">
        <v>52.8</v>
      </c>
      <c r="O15" s="105">
        <f t="shared" si="3"/>
        <v>44.766666666666659</v>
      </c>
      <c r="P15" s="101">
        <f t="shared" si="4"/>
        <v>4.0294649618513718</v>
      </c>
      <c r="T15" s="111">
        <v>2019</v>
      </c>
      <c r="U15" s="83">
        <f t="shared" si="5"/>
        <v>18.184946066475085</v>
      </c>
      <c r="V15" s="83">
        <f t="shared" si="16"/>
        <v>6.9335922679820902E-2</v>
      </c>
      <c r="W15" s="83">
        <f t="shared" si="6"/>
        <v>1.5561532756479186</v>
      </c>
      <c r="X15" s="83">
        <f t="shared" si="7"/>
        <v>7.9644875268268489</v>
      </c>
      <c r="Y15" s="83">
        <f t="shared" si="8"/>
        <v>6.8964895922122134</v>
      </c>
      <c r="Z15" s="83">
        <f t="shared" si="9"/>
        <v>1.8680317680751748E-2</v>
      </c>
      <c r="AA15" s="83">
        <f t="shared" si="10"/>
        <v>2.2426908226039788</v>
      </c>
      <c r="AB15" s="83">
        <f t="shared" si="11"/>
        <v>7.4706065543410007</v>
      </c>
      <c r="AC15" s="83">
        <f t="shared" si="12"/>
        <v>0.16778798744816961</v>
      </c>
      <c r="AD15" s="83">
        <f t="shared" si="13"/>
        <v>1.7593563439834579</v>
      </c>
      <c r="AE15" s="83">
        <f t="shared" si="14"/>
        <v>10.802106297296335</v>
      </c>
      <c r="AF15" s="83">
        <f t="shared" si="15"/>
        <v>24.245063307040073</v>
      </c>
    </row>
    <row r="16" spans="2:32" x14ac:dyDescent="0.2">
      <c r="B16" s="93">
        <v>2020</v>
      </c>
      <c r="C16" s="59">
        <v>48.04</v>
      </c>
      <c r="D16" s="59">
        <v>43.8</v>
      </c>
      <c r="E16" s="59">
        <v>27.51</v>
      </c>
      <c r="F16" s="59">
        <v>28.67</v>
      </c>
      <c r="G16" s="59">
        <v>32.26</v>
      </c>
      <c r="H16" s="59">
        <v>35.369999999999997</v>
      </c>
      <c r="I16" s="59">
        <v>34.119999999999997</v>
      </c>
      <c r="J16" s="59">
        <v>36.6</v>
      </c>
      <c r="K16" s="59">
        <v>30.98</v>
      </c>
      <c r="L16" s="59">
        <v>29.85</v>
      </c>
      <c r="M16" s="59">
        <v>42.97</v>
      </c>
      <c r="N16" s="82">
        <v>43.1</v>
      </c>
      <c r="O16" s="105">
        <f t="shared" si="3"/>
        <v>36.105833333333344</v>
      </c>
      <c r="P16" s="101">
        <f t="shared" si="4"/>
        <v>6.8208829851397441</v>
      </c>
      <c r="T16" s="111">
        <v>2020</v>
      </c>
      <c r="U16" s="83">
        <f t="shared" si="5"/>
        <v>131.47952708702618</v>
      </c>
      <c r="V16" s="83">
        <f t="shared" si="16"/>
        <v>50.374735940449092</v>
      </c>
      <c r="W16" s="83">
        <f t="shared" si="6"/>
        <v>59.084209943051043</v>
      </c>
      <c r="X16" s="83">
        <f t="shared" si="7"/>
        <v>53.246563662995079</v>
      </c>
      <c r="Y16" s="83">
        <f t="shared" si="8"/>
        <v>6.6836907457359809</v>
      </c>
      <c r="Z16" s="83">
        <f t="shared" si="9"/>
        <v>4.554627699792519</v>
      </c>
      <c r="AA16" s="83">
        <f t="shared" si="10"/>
        <v>0.80412163023192584</v>
      </c>
      <c r="AB16" s="83">
        <f t="shared" si="11"/>
        <v>2.3335382305235317</v>
      </c>
      <c r="AC16" s="83">
        <f t="shared" si="12"/>
        <v>21.340217686618928</v>
      </c>
      <c r="AD16" s="83">
        <f t="shared" si="13"/>
        <v>48.619373088237474</v>
      </c>
      <c r="AE16" s="83">
        <f t="shared" si="14"/>
        <v>15.582670397278159</v>
      </c>
      <c r="AF16" s="83">
        <f t="shared" si="15"/>
        <v>15.091367743471285</v>
      </c>
    </row>
    <row r="17" spans="2:32" x14ac:dyDescent="0.2">
      <c r="B17" s="93">
        <v>2021</v>
      </c>
      <c r="C17" s="59">
        <v>39.78</v>
      </c>
      <c r="D17" s="59">
        <v>49.3</v>
      </c>
      <c r="E17" s="59">
        <v>51.88</v>
      </c>
      <c r="F17" s="59">
        <v>53.39</v>
      </c>
      <c r="G17" s="59">
        <v>55.85</v>
      </c>
      <c r="H17" s="59">
        <v>52.87</v>
      </c>
      <c r="I17" s="59">
        <v>51.45</v>
      </c>
      <c r="J17" s="59">
        <v>53.7</v>
      </c>
      <c r="K17" s="59">
        <v>55.44</v>
      </c>
      <c r="L17" s="59">
        <v>57.9</v>
      </c>
      <c r="M17" s="59">
        <v>55.08</v>
      </c>
      <c r="N17" s="82">
        <v>60.8</v>
      </c>
      <c r="O17" s="105">
        <f t="shared" si="3"/>
        <v>53.12</v>
      </c>
      <c r="P17" s="101">
        <f t="shared" si="4"/>
        <v>5.1861178333911946</v>
      </c>
      <c r="T17" s="111">
        <v>2021</v>
      </c>
      <c r="U17" s="83">
        <f t="shared" si="5"/>
        <v>190.65297755010778</v>
      </c>
      <c r="V17" s="83">
        <f t="shared" si="16"/>
        <v>19.506801511984246</v>
      </c>
      <c r="W17" s="83">
        <f t="shared" si="6"/>
        <v>0.10942338720064335</v>
      </c>
      <c r="X17" s="83">
        <f t="shared" si="7"/>
        <v>0.16712482415480795</v>
      </c>
      <c r="Y17" s="83">
        <f t="shared" si="8"/>
        <v>15.924488018062295</v>
      </c>
      <c r="Z17" s="83">
        <f t="shared" si="9"/>
        <v>6.8643513099430624</v>
      </c>
      <c r="AA17" s="83">
        <f t="shared" si="10"/>
        <v>0.33743895336624208</v>
      </c>
      <c r="AB17" s="83">
        <f t="shared" si="11"/>
        <v>2.6031422695487447</v>
      </c>
      <c r="AC17" s="83">
        <f t="shared" si="12"/>
        <v>7.9878924793315518</v>
      </c>
      <c r="AD17" s="83">
        <f t="shared" si="13"/>
        <v>16.508570115243732</v>
      </c>
      <c r="AE17" s="83">
        <f t="shared" si="14"/>
        <v>0.91523191744855448</v>
      </c>
      <c r="AF17" s="83">
        <f t="shared" si="15"/>
        <v>20.890332226172333</v>
      </c>
    </row>
    <row r="18" spans="2:32" x14ac:dyDescent="0.2">
      <c r="B18" s="94">
        <v>2022</v>
      </c>
      <c r="C18" s="81">
        <f>EXP(C$3)</f>
        <v>62.991512809070571</v>
      </c>
      <c r="D18" s="81">
        <f t="shared" ref="D18:M18" si="17">EXP(D$3)</f>
        <v>52.509809512456187</v>
      </c>
      <c r="E18" s="81">
        <f t="shared" si="17"/>
        <v>51.935366834831441</v>
      </c>
      <c r="F18" s="81">
        <f t="shared" si="17"/>
        <v>49.699754825406366</v>
      </c>
      <c r="G18" s="81">
        <f t="shared" si="17"/>
        <v>53.090605941098566</v>
      </c>
      <c r="H18" s="81">
        <f t="shared" si="17"/>
        <v>45.376756382947249</v>
      </c>
      <c r="I18" s="81">
        <f t="shared" si="17"/>
        <v>46.016498719574216</v>
      </c>
      <c r="J18" s="81">
        <f t="shared" si="17"/>
        <v>46.478972220334327</v>
      </c>
      <c r="K18" s="81">
        <f t="shared" si="17"/>
        <v>43.597508315723488</v>
      </c>
      <c r="L18" s="81">
        <f t="shared" si="17"/>
        <v>47.512840460810942</v>
      </c>
      <c r="M18" s="81">
        <f t="shared" si="17"/>
        <v>53.410107121784264</v>
      </c>
      <c r="N18" s="42">
        <f>EXP(N$3)</f>
        <v>53.250116905735624</v>
      </c>
      <c r="O18" s="106">
        <f t="shared" si="3"/>
        <v>50.48915417081443</v>
      </c>
      <c r="P18" s="102">
        <f t="shared" si="4"/>
        <v>5.2622599508981782</v>
      </c>
      <c r="T18" s="112">
        <v>2022</v>
      </c>
      <c r="U18" s="83">
        <f t="shared" si="5"/>
        <v>144.83266142005934</v>
      </c>
      <c r="V18" s="83">
        <f t="shared" si="16"/>
        <v>2.0277898300196928</v>
      </c>
      <c r="W18" s="83">
        <f t="shared" si="6"/>
        <v>5.5480062201075153</v>
      </c>
      <c r="X18" s="83">
        <f t="shared" si="7"/>
        <v>0.42326775668015815</v>
      </c>
      <c r="Y18" s="83">
        <f t="shared" si="8"/>
        <v>14.915056430615865</v>
      </c>
      <c r="Z18" s="83">
        <f t="shared" si="9"/>
        <v>5.028389511892617</v>
      </c>
      <c r="AA18" s="83">
        <f t="shared" si="10"/>
        <v>11.44841337848899</v>
      </c>
      <c r="AB18" s="83">
        <f t="shared" si="11"/>
        <v>8.8610781804338448</v>
      </c>
      <c r="AC18" s="83">
        <f t="shared" si="12"/>
        <v>40.77282064724276</v>
      </c>
      <c r="AD18" s="83">
        <f t="shared" si="13"/>
        <v>13.640019750278807</v>
      </c>
      <c r="AE18" s="83">
        <f t="shared" si="14"/>
        <v>1.8279130433622483E-5</v>
      </c>
      <c r="AF18" s="83">
        <f t="shared" si="15"/>
        <v>0.12141250212528544</v>
      </c>
    </row>
    <row r="19" spans="2:32" x14ac:dyDescent="0.2">
      <c r="B19" s="97" t="s">
        <v>16</v>
      </c>
      <c r="C19" s="107">
        <f>AVERAGE(C8:C18)</f>
        <v>49.462864800824597</v>
      </c>
      <c r="D19" s="107">
        <f t="shared" ref="D19:N19" si="18">AVERAGE(D8:D18)</f>
        <v>49.591800864768743</v>
      </c>
      <c r="E19" s="107">
        <f t="shared" si="18"/>
        <v>48.085942439530136</v>
      </c>
      <c r="F19" s="107">
        <f t="shared" si="18"/>
        <v>48.856341347764214</v>
      </c>
      <c r="G19" s="107">
        <f t="shared" si="18"/>
        <v>47.734600540099876</v>
      </c>
      <c r="H19" s="107">
        <f t="shared" si="18"/>
        <v>46.125159671177023</v>
      </c>
      <c r="I19" s="107">
        <f t="shared" si="18"/>
        <v>47.906045338143116</v>
      </c>
      <c r="J19" s="107">
        <f t="shared" si="18"/>
        <v>47.961724747303123</v>
      </c>
      <c r="K19" s="107">
        <f t="shared" si="18"/>
        <v>48.488864392338499</v>
      </c>
      <c r="L19" s="107">
        <f t="shared" si="18"/>
        <v>49.712076405528272</v>
      </c>
      <c r="M19" s="107">
        <f t="shared" si="18"/>
        <v>51.911827920162203</v>
      </c>
      <c r="N19" s="108">
        <f t="shared" si="18"/>
        <v>52.104556082339606</v>
      </c>
      <c r="O19" s="109">
        <f>AVERAGE(C19:N19,O8:O18)</f>
        <v>48.995150379164947</v>
      </c>
    </row>
    <row r="20" spans="2:32" x14ac:dyDescent="0.2">
      <c r="B20" s="99" t="s">
        <v>17</v>
      </c>
      <c r="C20" s="103">
        <f>STDEV(C8:C18)</f>
        <v>10.704014894534312</v>
      </c>
      <c r="D20" s="103">
        <f t="shared" ref="D20:N20" si="19">STDEV(D8:D18)</f>
        <v>8.3750000114315295</v>
      </c>
      <c r="E20" s="103">
        <f t="shared" si="19"/>
        <v>10.97634804929514</v>
      </c>
      <c r="F20" s="103">
        <f t="shared" si="19"/>
        <v>11.791169750807972</v>
      </c>
      <c r="G20" s="103">
        <f t="shared" si="19"/>
        <v>10.936183809908625</v>
      </c>
      <c r="H20" s="103">
        <f t="shared" si="19"/>
        <v>9.4910943427510972</v>
      </c>
      <c r="I20" s="103">
        <f t="shared" si="19"/>
        <v>10.351785715837229</v>
      </c>
      <c r="J20" s="103">
        <f t="shared" si="19"/>
        <v>8.5991128063414628</v>
      </c>
      <c r="K20" s="103">
        <f t="shared" si="19"/>
        <v>9.8785518204596237</v>
      </c>
      <c r="L20" s="103">
        <f t="shared" si="19"/>
        <v>9.8529267865674672</v>
      </c>
      <c r="M20" s="103">
        <f t="shared" si="19"/>
        <v>6.3530471792882368</v>
      </c>
      <c r="N20" s="104">
        <f t="shared" si="19"/>
        <v>7.8282344149885157</v>
      </c>
    </row>
    <row r="30" spans="2:32" x14ac:dyDescent="0.2">
      <c r="B30" s="130" t="s">
        <v>18</v>
      </c>
      <c r="C30" s="113">
        <v>11</v>
      </c>
      <c r="F30" s="122" t="s">
        <v>19</v>
      </c>
      <c r="G30" s="127" t="s">
        <v>20</v>
      </c>
      <c r="H30" s="129" t="s">
        <v>21</v>
      </c>
      <c r="I30" s="119" t="s">
        <v>19</v>
      </c>
      <c r="J30" s="128" t="s">
        <v>22</v>
      </c>
      <c r="O30" s="176" t="s">
        <v>23</v>
      </c>
      <c r="P30" s="177"/>
      <c r="Q30" s="85" t="s">
        <v>24</v>
      </c>
      <c r="R30" s="85">
        <f>H31</f>
        <v>11</v>
      </c>
      <c r="S30" s="86" t="s">
        <v>25</v>
      </c>
      <c r="T30" s="182">
        <f>H33</f>
        <v>110</v>
      </c>
      <c r="U30" s="183"/>
    </row>
    <row r="31" spans="2:32" x14ac:dyDescent="0.2">
      <c r="B31" s="131" t="s">
        <v>26</v>
      </c>
      <c r="C31" s="114">
        <v>12</v>
      </c>
      <c r="F31" s="120" t="s">
        <v>27</v>
      </c>
      <c r="G31" s="52" cm="1">
        <f t="array" ref="G31">SUMSQ(C19:N19-O19)*C30</f>
        <v>356.90981290131265</v>
      </c>
      <c r="H31" s="53">
        <f>C31-1</f>
        <v>11</v>
      </c>
      <c r="I31" s="123" t="s">
        <v>28</v>
      </c>
      <c r="J31" s="116">
        <f>G31/(C31-1)</f>
        <v>32.44634662739206</v>
      </c>
      <c r="O31" s="178" t="s">
        <v>29</v>
      </c>
      <c r="P31" s="179"/>
      <c r="Q31" s="84" t="s">
        <v>30</v>
      </c>
      <c r="R31" s="9">
        <f>J31/J33</f>
        <v>1.138683730127772E-2</v>
      </c>
      <c r="S31" s="173"/>
      <c r="T31" s="174"/>
      <c r="U31" s="175"/>
    </row>
    <row r="32" spans="2:32" x14ac:dyDescent="0.2">
      <c r="B32" s="132" t="s">
        <v>31</v>
      </c>
      <c r="C32" s="115">
        <f>O19</f>
        <v>48.995150379164947</v>
      </c>
      <c r="F32" s="120" t="s">
        <v>32</v>
      </c>
      <c r="G32" s="10" cm="1">
        <f t="array" ref="G32">SUMSQ(O8:O18-O19)*C31</f>
        <v>8178.8138322489049</v>
      </c>
      <c r="H32" s="50">
        <f>C30-1</f>
        <v>10</v>
      </c>
      <c r="I32" s="124" t="s">
        <v>33</v>
      </c>
      <c r="J32" s="114">
        <f>G32/(C30-1)</f>
        <v>817.88138322489044</v>
      </c>
      <c r="O32" s="169" t="s">
        <v>34</v>
      </c>
      <c r="P32" s="170"/>
      <c r="Q32" s="88" t="s">
        <v>35</v>
      </c>
      <c r="R32" s="89">
        <v>1.87</v>
      </c>
      <c r="S32" s="171" t="s">
        <v>36</v>
      </c>
      <c r="T32" s="172"/>
      <c r="U32" s="90">
        <f>FINV(0.05,R30,T30)</f>
        <v>1.8767319839177952</v>
      </c>
    </row>
    <row r="33" spans="2:21" x14ac:dyDescent="0.2">
      <c r="F33" s="120" t="s">
        <v>37</v>
      </c>
      <c r="G33" s="10">
        <f>SUM(U8:AF18)</f>
        <v>3134.4068897977818</v>
      </c>
      <c r="H33" s="50">
        <f>H31*H32</f>
        <v>110</v>
      </c>
      <c r="I33" s="125" t="s">
        <v>38</v>
      </c>
      <c r="J33" s="87">
        <f>G33/(C31-1)*(C30-1)</f>
        <v>2849.4608089070744</v>
      </c>
      <c r="O33" s="1"/>
      <c r="P33" s="1"/>
      <c r="Q33" s="1"/>
    </row>
    <row r="34" spans="2:21" x14ac:dyDescent="0.2">
      <c r="F34" s="121" t="s">
        <v>39</v>
      </c>
      <c r="G34" s="88">
        <f>SUM(G31:G33)</f>
        <v>11670.130534947999</v>
      </c>
      <c r="H34" s="117">
        <f>C30*C31-1</f>
        <v>131</v>
      </c>
      <c r="I34" s="126" t="s">
        <v>40</v>
      </c>
      <c r="J34" s="118">
        <f>G34/(C31*C30-1)</f>
        <v>89.084965915633575</v>
      </c>
      <c r="O34" s="1"/>
      <c r="P34" s="1"/>
      <c r="Q34" s="1"/>
    </row>
    <row r="35" spans="2:21" x14ac:dyDescent="0.2">
      <c r="O35" s="1"/>
      <c r="P35" s="1"/>
      <c r="Q35" s="1"/>
    </row>
    <row r="36" spans="2:21" x14ac:dyDescent="0.2">
      <c r="O36" s="1"/>
      <c r="P36" s="1"/>
      <c r="Q36" s="1"/>
    </row>
    <row r="37" spans="2:21" x14ac:dyDescent="0.2">
      <c r="O37" s="176" t="s">
        <v>41</v>
      </c>
      <c r="P37" s="177"/>
      <c r="Q37" s="85" t="s">
        <v>24</v>
      </c>
      <c r="R37" s="85">
        <f>H32</f>
        <v>10</v>
      </c>
      <c r="S37" s="86" t="s">
        <v>25</v>
      </c>
      <c r="T37" s="182">
        <f>H33</f>
        <v>110</v>
      </c>
      <c r="U37" s="183"/>
    </row>
    <row r="38" spans="2:21" x14ac:dyDescent="0.2">
      <c r="O38" s="180" t="s">
        <v>29</v>
      </c>
      <c r="P38" s="181"/>
      <c r="Q38" s="84" t="s">
        <v>30</v>
      </c>
      <c r="R38" s="9">
        <f>J32/J33</f>
        <v>0.28703022714623444</v>
      </c>
      <c r="S38" s="173"/>
      <c r="T38" s="174"/>
      <c r="U38" s="175"/>
    </row>
    <row r="39" spans="2:21" x14ac:dyDescent="0.2">
      <c r="O39" s="169" t="s">
        <v>34</v>
      </c>
      <c r="P39" s="170"/>
      <c r="Q39" s="88" t="s">
        <v>42</v>
      </c>
      <c r="R39" s="89">
        <v>1.91</v>
      </c>
      <c r="S39" s="171" t="s">
        <v>43</v>
      </c>
      <c r="T39" s="172"/>
      <c r="U39" s="90">
        <f>FINV(0.05,R37,T37)</f>
        <v>1.9178271403928664</v>
      </c>
    </row>
    <row r="47" spans="2:21" x14ac:dyDescent="0.2">
      <c r="B47" s="136" t="s">
        <v>44</v>
      </c>
      <c r="C47" s="9">
        <v>0.50690632530277302</v>
      </c>
    </row>
    <row r="49" spans="2:14" x14ac:dyDescent="0.2">
      <c r="B49" s="164">
        <v>2023</v>
      </c>
      <c r="C49">
        <f>$C$47*C18+$C$47*C18</f>
        <v>63.861592566617041</v>
      </c>
      <c r="D49">
        <f t="shared" ref="D49:N49" si="20">$C$47*D18+$C$47*D18</f>
        <v>53.235109164615523</v>
      </c>
      <c r="E49">
        <f t="shared" si="20"/>
        <v>52.652731910991832</v>
      </c>
      <c r="F49">
        <f t="shared" si="20"/>
        <v>50.386240173991006</v>
      </c>
      <c r="G49">
        <f t="shared" si="20"/>
        <v>53.823927931399687</v>
      </c>
      <c r="H49">
        <f t="shared" si="20"/>
        <v>46.003529664477881</v>
      </c>
      <c r="I49">
        <f t="shared" si="20"/>
        <v>46.652108538478252</v>
      </c>
      <c r="J49">
        <f t="shared" si="20"/>
        <v>47.120970024118684</v>
      </c>
      <c r="K49">
        <f>$C$47*K18+$C$47*K18</f>
        <v>44.199705465360964</v>
      </c>
      <c r="L49">
        <f t="shared" si="20"/>
        <v>48.169118725373174</v>
      </c>
      <c r="M49">
        <f t="shared" si="20"/>
        <v>54.147842270262259</v>
      </c>
      <c r="N49">
        <f t="shared" si="20"/>
        <v>53.98564216525903</v>
      </c>
    </row>
    <row r="50" spans="2:14" x14ac:dyDescent="0.2">
      <c r="B50" s="162">
        <v>2023</v>
      </c>
      <c r="C50" s="9">
        <f>$C$47*C49+$C$47*C18</f>
        <v>64.30264149923525</v>
      </c>
      <c r="D50" s="9">
        <f t="shared" ref="D50:N50" si="21">$C$47*D49+$C$47*D18</f>
        <v>53.60276814603499</v>
      </c>
      <c r="E50" s="9">
        <f t="shared" si="21"/>
        <v>53.016368805648838</v>
      </c>
      <c r="F50" s="9">
        <f t="shared" si="21"/>
        <v>50.734223939416239</v>
      </c>
      <c r="G50" s="9">
        <f t="shared" si="21"/>
        <v>54.195653486766943</v>
      </c>
      <c r="H50" s="9">
        <f t="shared" si="21"/>
        <v>46.321245005416529</v>
      </c>
      <c r="I50" s="9">
        <f t="shared" si="21"/>
        <v>46.974303176105259</v>
      </c>
      <c r="J50" s="9">
        <f t="shared" si="21"/>
        <v>47.44640277168746</v>
      </c>
      <c r="K50" s="9">
        <f t="shared" si="21"/>
        <v>44.504963009591506</v>
      </c>
      <c r="L50" s="9">
        <f t="shared" si="21"/>
        <v>48.501790328838496</v>
      </c>
      <c r="M50" s="9">
        <f t="shared" si="21"/>
        <v>54.521804883423933</v>
      </c>
      <c r="N50" s="9">
        <f t="shared" si="21"/>
        <v>54.35848457173141</v>
      </c>
    </row>
  </sheetData>
  <mergeCells count="13">
    <mergeCell ref="T6:AF6"/>
    <mergeCell ref="O32:P32"/>
    <mergeCell ref="S32:T32"/>
    <mergeCell ref="S39:T39"/>
    <mergeCell ref="S31:U31"/>
    <mergeCell ref="O39:P39"/>
    <mergeCell ref="O37:P37"/>
    <mergeCell ref="O30:P30"/>
    <mergeCell ref="O31:P31"/>
    <mergeCell ref="O38:P38"/>
    <mergeCell ref="S38:U38"/>
    <mergeCell ref="T37:U37"/>
    <mergeCell ref="T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3620-8D01-4D5F-8780-3CD636A9C0BA}">
  <dimension ref="B3:AE24"/>
  <sheetViews>
    <sheetView topLeftCell="A2" workbookViewId="0">
      <selection activeCell="S25" sqref="S25"/>
    </sheetView>
  </sheetViews>
  <sheetFormatPr baseColWidth="10" defaultColWidth="8.83203125" defaultRowHeight="15" x14ac:dyDescent="0.2"/>
  <cols>
    <col min="20" max="31" width="9.33203125" bestFit="1" customWidth="1"/>
  </cols>
  <sheetData>
    <row r="3" spans="2:31" x14ac:dyDescent="0.2">
      <c r="C3" s="135" t="s">
        <v>2</v>
      </c>
      <c r="D3" s="135" t="s">
        <v>3</v>
      </c>
      <c r="E3" s="135" t="s">
        <v>4</v>
      </c>
      <c r="F3" s="135" t="s">
        <v>5</v>
      </c>
      <c r="G3" s="135" t="s">
        <v>6</v>
      </c>
      <c r="H3" s="135" t="s">
        <v>7</v>
      </c>
      <c r="I3" s="135" t="s">
        <v>8</v>
      </c>
      <c r="J3" s="135" t="s">
        <v>9</v>
      </c>
      <c r="K3" s="135" t="s">
        <v>10</v>
      </c>
      <c r="L3" s="135" t="s">
        <v>11</v>
      </c>
      <c r="M3" s="135" t="s">
        <v>12</v>
      </c>
      <c r="N3" s="135" t="s">
        <v>13</v>
      </c>
      <c r="P3" s="136" t="s">
        <v>44</v>
      </c>
      <c r="Q3" s="9">
        <v>0.51</v>
      </c>
      <c r="T3" s="133" t="s">
        <v>2</v>
      </c>
      <c r="U3" s="133" t="s">
        <v>3</v>
      </c>
      <c r="V3" s="133" t="s">
        <v>4</v>
      </c>
      <c r="W3" s="133" t="s">
        <v>5</v>
      </c>
      <c r="X3" s="133" t="s">
        <v>6</v>
      </c>
      <c r="Y3" s="133" t="s">
        <v>7</v>
      </c>
      <c r="Z3" s="133" t="s">
        <v>8</v>
      </c>
      <c r="AA3" s="133" t="s">
        <v>9</v>
      </c>
      <c r="AB3" s="133" t="s">
        <v>10</v>
      </c>
      <c r="AC3" s="133" t="s">
        <v>11</v>
      </c>
      <c r="AD3" s="133" t="s">
        <v>12</v>
      </c>
      <c r="AE3" s="133" t="s">
        <v>13</v>
      </c>
    </row>
    <row r="4" spans="2:31" x14ac:dyDescent="0.2">
      <c r="B4" s="134" t="s">
        <v>45</v>
      </c>
      <c r="C4" s="9">
        <f>Test_Seasonality!C8</f>
        <v>32.369999999999997</v>
      </c>
      <c r="D4" s="9">
        <f>Test_Seasonality!D8</f>
        <v>36.6</v>
      </c>
      <c r="E4" s="9">
        <f>Test_Seasonality!E8</f>
        <v>35.58</v>
      </c>
      <c r="F4" s="9">
        <f>Test_Seasonality!F8</f>
        <v>30.35</v>
      </c>
      <c r="G4" s="9">
        <f>Test_Seasonality!G8</f>
        <v>25.73</v>
      </c>
      <c r="H4" s="9">
        <f>Test_Seasonality!H8</f>
        <v>30.33</v>
      </c>
      <c r="I4" s="9">
        <f>Test_Seasonality!I8</f>
        <v>30.17</v>
      </c>
      <c r="J4" s="9">
        <f>Test_Seasonality!J8</f>
        <v>34.6</v>
      </c>
      <c r="K4" s="9">
        <f>Test_Seasonality!K8</f>
        <v>36.979999999999997</v>
      </c>
      <c r="L4" s="9">
        <f>Test_Seasonality!L8</f>
        <v>38.81</v>
      </c>
      <c r="M4" s="9">
        <f>Test_Seasonality!M8</f>
        <v>42.94</v>
      </c>
      <c r="N4" s="9">
        <f>Test_Seasonality!N8</f>
        <v>42.6</v>
      </c>
      <c r="S4" s="134" t="s">
        <v>46</v>
      </c>
      <c r="T4" s="9">
        <f>C4</f>
        <v>32.369999999999997</v>
      </c>
      <c r="U4" s="9">
        <f t="shared" ref="U4:AE4" si="0">D4</f>
        <v>36.6</v>
      </c>
      <c r="V4" s="9">
        <f t="shared" si="0"/>
        <v>35.58</v>
      </c>
      <c r="W4" s="9">
        <f t="shared" si="0"/>
        <v>30.35</v>
      </c>
      <c r="X4" s="9">
        <f t="shared" si="0"/>
        <v>25.73</v>
      </c>
      <c r="Y4" s="9">
        <f t="shared" si="0"/>
        <v>30.33</v>
      </c>
      <c r="Z4" s="9">
        <f t="shared" si="0"/>
        <v>30.17</v>
      </c>
      <c r="AA4" s="9">
        <f t="shared" si="0"/>
        <v>34.6</v>
      </c>
      <c r="AB4" s="9">
        <f t="shared" si="0"/>
        <v>36.979999999999997</v>
      </c>
      <c r="AC4" s="9">
        <f t="shared" si="0"/>
        <v>38.81</v>
      </c>
      <c r="AD4" s="9">
        <f t="shared" si="0"/>
        <v>42.94</v>
      </c>
      <c r="AE4" s="9">
        <f t="shared" si="0"/>
        <v>42.6</v>
      </c>
    </row>
    <row r="5" spans="2:31" x14ac:dyDescent="0.2">
      <c r="B5" s="134" t="s">
        <v>47</v>
      </c>
      <c r="C5" s="9">
        <f>$Q$3*C4+$Q$3*Test_Seasonality!C8</f>
        <v>33.017399999999995</v>
      </c>
      <c r="D5" s="9">
        <f>$Q$3*D4+$Q$3*Test_Seasonality!D8</f>
        <v>37.332000000000001</v>
      </c>
      <c r="E5" s="9">
        <f>$Q$3*E4+$Q$3*Test_Seasonality!E8</f>
        <v>36.291599999999995</v>
      </c>
      <c r="F5" s="9">
        <f>$Q$3*F4+$Q$3*Test_Seasonality!F8</f>
        <v>30.957000000000001</v>
      </c>
      <c r="G5" s="9">
        <f>$Q$3*G4+$Q$3*Test_Seasonality!G8</f>
        <v>26.244600000000002</v>
      </c>
      <c r="H5" s="9">
        <f>$Q$3*H4+$Q$3*Test_Seasonality!H8</f>
        <v>30.936599999999999</v>
      </c>
      <c r="I5" s="9">
        <f>$Q$3*I4+$Q$3*Test_Seasonality!I8</f>
        <v>30.773400000000002</v>
      </c>
      <c r="J5" s="9">
        <f>$Q$3*J4+$Q$3*Test_Seasonality!J8</f>
        <v>35.292000000000002</v>
      </c>
      <c r="K5" s="9">
        <f>$Q$3*K4+$Q$3*Test_Seasonality!K8</f>
        <v>37.7196</v>
      </c>
      <c r="L5" s="9">
        <f>$Q$3*L4+$Q$3*Test_Seasonality!L8</f>
        <v>39.586200000000005</v>
      </c>
      <c r="M5" s="9">
        <f>$Q$3*M4+$Q$3*Test_Seasonality!M8</f>
        <v>43.7988</v>
      </c>
      <c r="N5" s="9">
        <f>$Q$3*N4+$Q$3*Test_Seasonality!N8</f>
        <v>43.452000000000005</v>
      </c>
      <c r="P5" s="138" t="s">
        <v>48</v>
      </c>
      <c r="Q5" s="9">
        <f>(1-Q3)/Q3</f>
        <v>0.96078431372549011</v>
      </c>
      <c r="S5" s="134" t="s">
        <v>49</v>
      </c>
      <c r="T5" s="9">
        <f>$Q$3*C5+$Q$3*T4</f>
        <v>33.347573999999994</v>
      </c>
      <c r="U5" s="9">
        <f t="shared" ref="U5:AE5" si="1">$Q$3*D5+$Q$3*U4</f>
        <v>37.70532</v>
      </c>
      <c r="V5" s="9">
        <f t="shared" si="1"/>
        <v>36.654516000000001</v>
      </c>
      <c r="W5" s="9">
        <f t="shared" si="1"/>
        <v>31.266570000000002</v>
      </c>
      <c r="X5" s="9">
        <f t="shared" si="1"/>
        <v>26.507046000000003</v>
      </c>
      <c r="Y5" s="9">
        <f t="shared" si="1"/>
        <v>31.245965999999999</v>
      </c>
      <c r="Z5" s="9">
        <f t="shared" si="1"/>
        <v>31.081134000000002</v>
      </c>
      <c r="AA5" s="9">
        <f t="shared" si="1"/>
        <v>35.644919999999999</v>
      </c>
      <c r="AB5" s="9">
        <f t="shared" si="1"/>
        <v>38.096795999999998</v>
      </c>
      <c r="AC5" s="9">
        <f t="shared" si="1"/>
        <v>39.982062000000006</v>
      </c>
      <c r="AD5" s="9">
        <f t="shared" si="1"/>
        <v>44.236788000000004</v>
      </c>
      <c r="AE5" s="9">
        <f t="shared" si="1"/>
        <v>43.886520000000004</v>
      </c>
    </row>
    <row r="6" spans="2:31" x14ac:dyDescent="0.2">
      <c r="B6" s="134" t="s">
        <v>50</v>
      </c>
      <c r="C6" s="9">
        <f>$Q$3*C5+$Q$3*Test_Seasonality!C9</f>
        <v>40.405974000000001</v>
      </c>
      <c r="D6" s="9">
        <f>$Q$3*D5+$Q$3*Test_Seasonality!D9</f>
        <v>41.020319999999998</v>
      </c>
      <c r="E6" s="9">
        <f>$Q$3*E5+$Q$3*Test_Seasonality!E9</f>
        <v>38.929116</v>
      </c>
      <c r="F6" s="9">
        <f>$Q$3*F5+$Q$3*Test_Seasonality!F9</f>
        <v>37.366170000000004</v>
      </c>
      <c r="G6" s="9">
        <f>$Q$3*G5+$Q$3*Test_Seasonality!G9</f>
        <v>36.503045999999998</v>
      </c>
      <c r="H6" s="9">
        <f>$Q$3*H5+$Q$3*Test_Seasonality!H9</f>
        <v>37.182366000000002</v>
      </c>
      <c r="I6" s="9">
        <f>$Q$3*I5+$Q$3*Test_Seasonality!I9</f>
        <v>40.495733999999999</v>
      </c>
      <c r="J6" s="9">
        <f>$Q$3*J5+$Q$3*Test_Seasonality!J9</f>
        <v>42.172920000000005</v>
      </c>
      <c r="K6" s="9">
        <f>$Q$3*K5+$Q$3*Test_Seasonality!K9</f>
        <v>44.736996000000005</v>
      </c>
      <c r="L6" s="9">
        <f>$Q$3*L5+$Q$3*Test_Seasonality!L9</f>
        <v>48.004362</v>
      </c>
      <c r="M6" s="9">
        <f>$Q$3*M5+$Q$3*Test_Seasonality!M9</f>
        <v>50.514887999999999</v>
      </c>
      <c r="N6" s="9">
        <f>$Q$3*N5+$Q$3*Test_Seasonality!N9</f>
        <v>51.077520000000007</v>
      </c>
      <c r="S6" s="134" t="s">
        <v>51</v>
      </c>
      <c r="T6" s="9">
        <f t="shared" ref="T6:T13" si="2">$Q$3*C6+$Q$3*T5</f>
        <v>37.614309480000003</v>
      </c>
      <c r="U6" s="9">
        <f t="shared" ref="U6:U13" si="3">$Q$3*D6+$Q$3*U5</f>
        <v>40.150076400000003</v>
      </c>
      <c r="V6" s="9">
        <f t="shared" ref="V6:V13" si="4">$Q$3*E6+$Q$3*V5</f>
        <v>38.547652319999997</v>
      </c>
      <c r="W6" s="9">
        <f t="shared" ref="W6:W13" si="5">$Q$3*F6+$Q$3*W5</f>
        <v>35.002697400000002</v>
      </c>
      <c r="X6" s="9">
        <f t="shared" ref="X6:X13" si="6">$Q$3*G6+$Q$3*X5</f>
        <v>32.135146919999997</v>
      </c>
      <c r="Y6" s="9">
        <f t="shared" ref="Y6:Y13" si="7">$Q$3*H6+$Q$3*Y5</f>
        <v>34.898449319999997</v>
      </c>
      <c r="Z6" s="9">
        <f t="shared" ref="Z6:Z13" si="8">$Q$3*I6+$Q$3*Z5</f>
        <v>36.504202679999999</v>
      </c>
      <c r="AA6" s="9">
        <f t="shared" ref="AA6:AA13" si="9">$Q$3*J6+$Q$3*AA5</f>
        <v>39.687098400000004</v>
      </c>
      <c r="AB6" s="9">
        <f t="shared" ref="AB6:AB13" si="10">$Q$3*K6+$Q$3*AB5</f>
        <v>42.245233920000004</v>
      </c>
      <c r="AC6" s="9">
        <f t="shared" ref="AC6:AC13" si="11">$Q$3*L6+$Q$3*AC5</f>
        <v>44.873076240000003</v>
      </c>
      <c r="AD6" s="9">
        <f t="shared" ref="AD6:AD13" si="12">$Q$3*M6+$Q$3*AD5</f>
        <v>48.323354760000001</v>
      </c>
      <c r="AE6" s="9">
        <f t="shared" ref="AE6:AE13" si="13">$Q$3*N6+$Q$3*AE5</f>
        <v>48.431660400000013</v>
      </c>
    </row>
    <row r="7" spans="2:31" x14ac:dyDescent="0.2">
      <c r="B7" s="134" t="s">
        <v>52</v>
      </c>
      <c r="C7" s="9">
        <f>$Q$3*C6+$Q$3*Test_Seasonality!C10</f>
        <v>49.906546740000003</v>
      </c>
      <c r="D7" s="9">
        <f>$Q$3*D6+$Q$3*Test_Seasonality!D10</f>
        <v>51.265363199999996</v>
      </c>
      <c r="E7" s="9">
        <f>$Q$3*E6+$Q$3*Test_Seasonality!E10</f>
        <v>48.408749159999999</v>
      </c>
      <c r="F7" s="9">
        <f>$Q$3*F6+$Q$3*Test_Seasonality!F10</f>
        <v>46.652846699999998</v>
      </c>
      <c r="G7" s="9">
        <f>$Q$3*G6+$Q$3*Test_Seasonality!G10</f>
        <v>44.815253459999994</v>
      </c>
      <c r="H7" s="9">
        <f>$Q$3*H6+$Q$3*Test_Seasonality!H10</f>
        <v>44.228406660000005</v>
      </c>
      <c r="I7" s="9">
        <f>$Q$3*I6+$Q$3*Test_Seasonality!I10</f>
        <v>45.89782434</v>
      </c>
      <c r="J7" s="9">
        <f>$Q$3*J6+$Q$3*Test_Seasonality!J10</f>
        <v>47.722189200000003</v>
      </c>
      <c r="K7" s="9">
        <f>$Q$3*K6+$Q$3*Test_Seasonality!K10</f>
        <v>49.601067960000009</v>
      </c>
      <c r="L7" s="9">
        <f>$Q$3*L6+$Q$3*Test_Seasonality!L10</f>
        <v>50.053624620000001</v>
      </c>
      <c r="M7" s="9">
        <f>$Q$3*M6+$Q$3*Test_Seasonality!M10</f>
        <v>52.05819288</v>
      </c>
      <c r="N7" s="9">
        <f>$Q$3*N6+$Q$3*Test_Seasonality!N10</f>
        <v>51.192535200000009</v>
      </c>
      <c r="P7" s="139" t="s">
        <v>53</v>
      </c>
      <c r="Q7" s="139" t="s">
        <v>54</v>
      </c>
      <c r="S7" s="134" t="s">
        <v>55</v>
      </c>
      <c r="T7" s="9">
        <f t="shared" si="2"/>
        <v>44.635636672200008</v>
      </c>
      <c r="U7" s="9">
        <f t="shared" si="3"/>
        <v>46.621874196</v>
      </c>
      <c r="V7" s="9">
        <f t="shared" si="4"/>
        <v>44.347764754799996</v>
      </c>
      <c r="W7" s="9">
        <f t="shared" si="5"/>
        <v>41.644327490999999</v>
      </c>
      <c r="X7" s="9">
        <f t="shared" si="6"/>
        <v>39.244704193799997</v>
      </c>
      <c r="Y7" s="9">
        <f t="shared" si="7"/>
        <v>40.354696549799996</v>
      </c>
      <c r="Z7" s="9">
        <f t="shared" si="8"/>
        <v>42.025033780200005</v>
      </c>
      <c r="AA7" s="9">
        <f t="shared" si="9"/>
        <v>44.578736676000005</v>
      </c>
      <c r="AB7" s="9">
        <f t="shared" si="10"/>
        <v>46.841613958800011</v>
      </c>
      <c r="AC7" s="9">
        <f t="shared" si="11"/>
        <v>48.412617438600002</v>
      </c>
      <c r="AD7" s="9">
        <f t="shared" si="12"/>
        <v>51.194589296400004</v>
      </c>
      <c r="AE7" s="9">
        <f t="shared" si="13"/>
        <v>50.808339756000009</v>
      </c>
    </row>
    <row r="8" spans="2:31" x14ac:dyDescent="0.2">
      <c r="B8" s="134" t="s">
        <v>56</v>
      </c>
      <c r="C8" s="9">
        <f>$Q$3*C7+$Q$3*Test_Seasonality!C11</f>
        <v>49.310138837400004</v>
      </c>
      <c r="D8" s="9">
        <f>$Q$3*D7+$Q$3*Test_Seasonality!D11</f>
        <v>52.716335231999999</v>
      </c>
      <c r="E8" s="9">
        <f>$Q$3*E7+$Q$3*Test_Seasonality!E11</f>
        <v>53.539162071600003</v>
      </c>
      <c r="F8" s="9">
        <f>$Q$3*F7+$Q$3*Test_Seasonality!F11</f>
        <v>52.577351816999993</v>
      </c>
      <c r="G8" s="9">
        <f>$Q$3*G7+$Q$3*Test_Seasonality!G11</f>
        <v>50.870079264599994</v>
      </c>
      <c r="H8" s="9">
        <f>$Q$3*H7+$Q$3*Test_Seasonality!H11</f>
        <v>50.1729873966</v>
      </c>
      <c r="I8" s="9">
        <f>$Q$3*I7+$Q$3*Test_Seasonality!I11</f>
        <v>53.655990413400005</v>
      </c>
      <c r="J8" s="9">
        <f>$Q$3*J7+$Q$3*Test_Seasonality!J11</f>
        <v>53.051316491999998</v>
      </c>
      <c r="K8" s="9">
        <f>$Q$3*K7+$Q$3*Test_Seasonality!K11</f>
        <v>52.051144659600006</v>
      </c>
      <c r="L8" s="9">
        <f>$Q$3*L7+$Q$3*Test_Seasonality!L11</f>
        <v>53.709948556200004</v>
      </c>
      <c r="M8" s="9">
        <f>$Q$3*M7+$Q$3*Test_Seasonality!M11</f>
        <v>55.165778368800005</v>
      </c>
      <c r="N8" s="9">
        <f>$Q$3*N7+$Q$3*Test_Seasonality!N11</f>
        <v>52.73019295200001</v>
      </c>
      <c r="P8" s="9">
        <f>2*C4-T4</f>
        <v>32.369999999999997</v>
      </c>
      <c r="Q8" s="9">
        <f>(C4-T4)/$Q$5</f>
        <v>0</v>
      </c>
      <c r="S8" s="134" t="s">
        <v>57</v>
      </c>
      <c r="T8" s="9">
        <f t="shared" si="2"/>
        <v>47.912345509896006</v>
      </c>
      <c r="U8" s="9">
        <f t="shared" si="3"/>
        <v>50.662486808279994</v>
      </c>
      <c r="V8" s="9">
        <f t="shared" si="4"/>
        <v>49.922332681463999</v>
      </c>
      <c r="W8" s="9">
        <f t="shared" si="5"/>
        <v>48.053056447079996</v>
      </c>
      <c r="X8" s="9">
        <f t="shared" si="6"/>
        <v>45.958539563783994</v>
      </c>
      <c r="Y8" s="9">
        <f t="shared" si="7"/>
        <v>46.169118812663996</v>
      </c>
      <c r="Z8" s="9">
        <f t="shared" si="8"/>
        <v>48.797322338736009</v>
      </c>
      <c r="AA8" s="9">
        <f t="shared" si="9"/>
        <v>49.791327115680005</v>
      </c>
      <c r="AB8" s="9">
        <f t="shared" si="10"/>
        <v>50.435306895384009</v>
      </c>
      <c r="AC8" s="9">
        <f t="shared" si="11"/>
        <v>52.082508657348001</v>
      </c>
      <c r="AD8" s="9">
        <f t="shared" si="12"/>
        <v>54.243787509252002</v>
      </c>
      <c r="AE8" s="9">
        <f t="shared" si="13"/>
        <v>52.80465168108001</v>
      </c>
    </row>
    <row r="9" spans="2:31" x14ac:dyDescent="0.2">
      <c r="B9" s="134" t="s">
        <v>58</v>
      </c>
      <c r="C9" s="9">
        <f>$Q$3*C8+$Q$3*Test_Seasonality!C12</f>
        <v>47.445370807073999</v>
      </c>
      <c r="D9" s="9">
        <f>$Q$3*D8+$Q$3*Test_Seasonality!D12</f>
        <v>48.815330968319998</v>
      </c>
      <c r="E9" s="9">
        <f>$Q$3*E8+$Q$3*Test_Seasonality!E12</f>
        <v>49.862272656515998</v>
      </c>
      <c r="F9" s="9">
        <f>$Q$3*F8+$Q$3*Test_Seasonality!F12</f>
        <v>50.396849426670002</v>
      </c>
      <c r="G9" s="9">
        <f>$Q$3*G8+$Q$3*Test_Seasonality!G12</f>
        <v>51.321340424946001</v>
      </c>
      <c r="H9" s="9">
        <f>$Q$3*H8+$Q$3*Test_Seasonality!H12</f>
        <v>45.865823572265995</v>
      </c>
      <c r="I9" s="9">
        <f>$Q$3*I8+$Q$3*Test_Seasonality!I12</f>
        <v>49.983055110834002</v>
      </c>
      <c r="J9" s="9">
        <f>$Q$3*J8+$Q$3*Test_Seasonality!J12</f>
        <v>50.312171410920001</v>
      </c>
      <c r="K9" s="9">
        <f>$Q$3*K8+$Q$3*Test_Seasonality!K12</f>
        <v>49.888783776396004</v>
      </c>
      <c r="L9" s="9">
        <f>$Q$3*L8+$Q$3*Test_Seasonality!L12</f>
        <v>54.340473763662004</v>
      </c>
      <c r="M9" s="9">
        <f>$Q$3*M8+$Q$3*Test_Seasonality!M12</f>
        <v>56.072346968087999</v>
      </c>
      <c r="N9" s="9">
        <f>$Q$3*N8+$Q$3*Test_Seasonality!N12</f>
        <v>57.798398405520004</v>
      </c>
      <c r="P9" s="9">
        <f>2*C5-T5</f>
        <v>32.687225999999995</v>
      </c>
      <c r="Q9" s="9">
        <f t="shared" ref="Q9:Q18" si="14">(C5-T5)/$Q$5</f>
        <v>-0.34365048979591789</v>
      </c>
      <c r="S9" s="134" t="s">
        <v>59</v>
      </c>
      <c r="T9" s="9">
        <f t="shared" si="2"/>
        <v>48.632435321654704</v>
      </c>
      <c r="U9" s="9">
        <f t="shared" si="3"/>
        <v>50.733687066065997</v>
      </c>
      <c r="V9" s="9">
        <f t="shared" si="4"/>
        <v>50.890148722369801</v>
      </c>
      <c r="W9" s="9">
        <f t="shared" si="5"/>
        <v>50.209451995612497</v>
      </c>
      <c r="X9" s="9">
        <f t="shared" si="6"/>
        <v>49.612738794252294</v>
      </c>
      <c r="Y9" s="9">
        <f t="shared" si="7"/>
        <v>46.937820616314298</v>
      </c>
      <c r="Z9" s="9">
        <f t="shared" si="8"/>
        <v>50.377992499280708</v>
      </c>
      <c r="AA9" s="9">
        <f t="shared" si="9"/>
        <v>51.052784248566006</v>
      </c>
      <c r="AB9" s="9">
        <f t="shared" si="10"/>
        <v>51.165286242607806</v>
      </c>
      <c r="AC9" s="9">
        <f t="shared" si="11"/>
        <v>54.275721034715104</v>
      </c>
      <c r="AD9" s="9">
        <f t="shared" si="12"/>
        <v>56.261228583443398</v>
      </c>
      <c r="AE9" s="9">
        <f t="shared" si="13"/>
        <v>56.407555544166009</v>
      </c>
    </row>
    <row r="10" spans="2:31" x14ac:dyDescent="0.2">
      <c r="B10" s="134" t="s">
        <v>60</v>
      </c>
      <c r="C10" s="9">
        <f>$Q$3*C9+$Q$3*Test_Seasonality!C13</f>
        <v>54.378939111607735</v>
      </c>
      <c r="D10" s="9">
        <f>$Q$3*D9+$Q$3*Test_Seasonality!D13</f>
        <v>52.996818793843204</v>
      </c>
      <c r="E10" s="9">
        <f>$Q$3*E9+$Q$3*Test_Seasonality!E13</f>
        <v>57.26905905482316</v>
      </c>
      <c r="F10" s="9">
        <f>$Q$3*F9+$Q$3*Test_Seasonality!F13</f>
        <v>58.740193207601706</v>
      </c>
      <c r="G10" s="9">
        <f>$Q$3*G9+$Q$3*Test_Seasonality!G13</f>
        <v>58.212083616722467</v>
      </c>
      <c r="H10" s="9">
        <f>$Q$3*H9+$Q$3*Test_Seasonality!H13</f>
        <v>55.552170021855659</v>
      </c>
      <c r="I10" s="9">
        <f>$Q$3*I9+$Q$3*Test_Seasonality!I13</f>
        <v>58.932058106525339</v>
      </c>
      <c r="J10" s="9">
        <f>$Q$3*J9+$Q$3*Test_Seasonality!J13</f>
        <v>58.248207419569198</v>
      </c>
      <c r="K10" s="9">
        <f>$Q$3*K9+$Q$3*Test_Seasonality!K13</f>
        <v>60.250779725961962</v>
      </c>
      <c r="L10" s="9">
        <f>$Q$3*L9+$Q$3*Test_Seasonality!L13</f>
        <v>61.904041619467627</v>
      </c>
      <c r="M10" s="9">
        <f>$Q$3*M9+$Q$3*Test_Seasonality!M13</f>
        <v>61.022696953724882</v>
      </c>
      <c r="N10" s="9">
        <f>$Q$3*N9+$Q$3*Test_Seasonality!N13</f>
        <v>61.250183186815207</v>
      </c>
      <c r="P10" s="9">
        <f t="shared" ref="P10:P17" si="15">2*C6-T6</f>
        <v>43.197638519999998</v>
      </c>
      <c r="Q10" s="9">
        <f t="shared" si="14"/>
        <v>2.9056100106122429</v>
      </c>
      <c r="S10" s="134" t="s">
        <v>61</v>
      </c>
      <c r="T10" s="9">
        <f t="shared" si="2"/>
        <v>52.535800960963847</v>
      </c>
      <c r="U10" s="9">
        <f t="shared" si="3"/>
        <v>52.902557988553696</v>
      </c>
      <c r="V10" s="9">
        <f t="shared" si="4"/>
        <v>55.16119596636841</v>
      </c>
      <c r="W10" s="9">
        <f t="shared" si="5"/>
        <v>55.564319053639238</v>
      </c>
      <c r="X10" s="9">
        <f t="shared" si="6"/>
        <v>54.99065942959713</v>
      </c>
      <c r="Y10" s="9">
        <f t="shared" si="7"/>
        <v>52.269895225466676</v>
      </c>
      <c r="Z10" s="9">
        <f t="shared" si="8"/>
        <v>55.748125808961092</v>
      </c>
      <c r="AA10" s="9">
        <f t="shared" si="9"/>
        <v>55.743505750748952</v>
      </c>
      <c r="AB10" s="9">
        <f t="shared" si="10"/>
        <v>56.822193643970579</v>
      </c>
      <c r="AC10" s="9">
        <f t="shared" si="11"/>
        <v>59.251678953633188</v>
      </c>
      <c r="AD10" s="9">
        <f t="shared" si="12"/>
        <v>59.814802023955821</v>
      </c>
      <c r="AE10" s="9">
        <f t="shared" si="13"/>
        <v>60.005446752800424</v>
      </c>
    </row>
    <row r="11" spans="2:31" x14ac:dyDescent="0.2">
      <c r="B11" s="134" t="s">
        <v>62</v>
      </c>
      <c r="C11" s="9">
        <f>$Q$3*C10+$Q$3*Test_Seasonality!C14</f>
        <v>61.699258946919947</v>
      </c>
      <c r="D11" s="9">
        <f>$Q$3*D10+$Q$3*Test_Seasonality!D14</f>
        <v>60.382377584860038</v>
      </c>
      <c r="E11" s="9">
        <f>$Q$3*E10+$Q$3*Test_Seasonality!E14</f>
        <v>59.893920117959809</v>
      </c>
      <c r="F11" s="9">
        <f>$Q$3*F10+$Q$3*Test_Seasonality!F14</f>
        <v>62.587298535876869</v>
      </c>
      <c r="G11" s="9">
        <f>$Q$3*G10+$Q$3*Test_Seasonality!G14</f>
        <v>56.748762644528455</v>
      </c>
      <c r="H11" s="9">
        <f>$Q$3*H10+$Q$3*Test_Seasonality!H14</f>
        <v>55.458506711146384</v>
      </c>
      <c r="I11" s="9">
        <f>$Q$3*I10+$Q$3*Test_Seasonality!I14</f>
        <v>58.447049634327925</v>
      </c>
      <c r="J11" s="9">
        <f>$Q$3*J10+$Q$3*Test_Seasonality!J14</f>
        <v>55.512585783980292</v>
      </c>
      <c r="K11" s="9">
        <f>$Q$3*K10+$Q$3*Test_Seasonality!K14</f>
        <v>57.609997660240602</v>
      </c>
      <c r="L11" s="9">
        <f>$Q$3*L10+$Q$3*Test_Seasonality!L14</f>
        <v>55.097361225928495</v>
      </c>
      <c r="M11" s="9">
        <f>$Q$3*M10+$Q$3*Test_Seasonality!M14</f>
        <v>53.75537544639969</v>
      </c>
      <c r="N11" s="9">
        <f>$Q$3*N10+$Q$3*Test_Seasonality!N14</f>
        <v>51.382593425275758</v>
      </c>
      <c r="P11" s="9">
        <f t="shared" si="15"/>
        <v>55.177456807799999</v>
      </c>
      <c r="Q11" s="9">
        <f t="shared" si="14"/>
        <v>5.4860492542408119</v>
      </c>
      <c r="S11" s="134" t="s">
        <v>63</v>
      </c>
      <c r="T11" s="9">
        <f t="shared" si="2"/>
        <v>58.259880553020736</v>
      </c>
      <c r="U11" s="9">
        <f t="shared" si="3"/>
        <v>57.775317142441004</v>
      </c>
      <c r="V11" s="9">
        <f t="shared" si="4"/>
        <v>58.678109203007395</v>
      </c>
      <c r="W11" s="9">
        <f t="shared" si="5"/>
        <v>60.257324970653215</v>
      </c>
      <c r="X11" s="9">
        <f t="shared" si="6"/>
        <v>56.987105257804046</v>
      </c>
      <c r="Y11" s="9">
        <f t="shared" si="7"/>
        <v>54.941484987672666</v>
      </c>
      <c r="Z11" s="9">
        <f t="shared" si="8"/>
        <v>58.239539476077397</v>
      </c>
      <c r="AA11" s="9">
        <f t="shared" si="9"/>
        <v>56.740606682711913</v>
      </c>
      <c r="AB11" s="9">
        <f t="shared" si="10"/>
        <v>58.360417565147699</v>
      </c>
      <c r="AC11" s="9">
        <f t="shared" si="11"/>
        <v>58.318010491576459</v>
      </c>
      <c r="AD11" s="9">
        <f t="shared" si="12"/>
        <v>57.920790509881314</v>
      </c>
      <c r="AE11" s="9">
        <f t="shared" si="13"/>
        <v>56.807900490818852</v>
      </c>
    </row>
    <row r="12" spans="2:31" x14ac:dyDescent="0.2">
      <c r="B12" s="134" t="s">
        <v>64</v>
      </c>
      <c r="C12" s="9">
        <f>$Q$3*C11+$Q$3*Test_Seasonality!C15</f>
        <v>52.361322062929176</v>
      </c>
      <c r="D12" s="9">
        <f>$Q$3*D11+$Q$3*Test_Seasonality!D15</f>
        <v>53.79601256827862</v>
      </c>
      <c r="E12" s="9">
        <f>$Q$3*E11+$Q$3*Test_Seasonality!E15</f>
        <v>52.276999260159499</v>
      </c>
      <c r="F12" s="9">
        <f>$Q$3*F11+$Q$3*Test_Seasonality!F15</f>
        <v>56.119022253297203</v>
      </c>
      <c r="G12" s="9">
        <f>$Q$3*G11+$Q$3*Test_Seasonality!G15</f>
        <v>49.790668948709509</v>
      </c>
      <c r="H12" s="9">
        <f>$Q$3*H11+$Q$3*Test_Seasonality!H15</f>
        <v>49.581438422684656</v>
      </c>
      <c r="I12" s="9">
        <f>$Q$3*I11+$Q$3*Test_Seasonality!I15</f>
        <v>51.319795313507242</v>
      </c>
      <c r="J12" s="9">
        <f>$Q$3*J11+$Q$3*Test_Seasonality!J15</f>
        <v>49.221418749829951</v>
      </c>
      <c r="K12" s="9">
        <f>$Q$3*K11+$Q$3*Test_Seasonality!K15</f>
        <v>52.162798806722705</v>
      </c>
      <c r="L12" s="9">
        <f>$Q$3*L11+$Q$3*Test_Seasonality!L15</f>
        <v>51.972754225223532</v>
      </c>
      <c r="M12" s="9">
        <f>$Q$3*M11+$Q$3*Test_Seasonality!M15</f>
        <v>53.409941477663835</v>
      </c>
      <c r="N12" s="9">
        <f>$Q$3*N11+$Q$3*Test_Seasonality!N15</f>
        <v>53.133122646890634</v>
      </c>
      <c r="P12" s="9">
        <f t="shared" si="15"/>
        <v>50.707932164904001</v>
      </c>
      <c r="Q12" s="9">
        <f t="shared" si="14"/>
        <v>1.4548461163817117</v>
      </c>
      <c r="S12" s="134" t="s">
        <v>65</v>
      </c>
      <c r="T12" s="9">
        <f t="shared" si="2"/>
        <v>56.41681333413446</v>
      </c>
      <c r="U12" s="9">
        <f t="shared" si="3"/>
        <v>56.901378152467011</v>
      </c>
      <c r="V12" s="9">
        <f t="shared" si="4"/>
        <v>56.587105316215116</v>
      </c>
      <c r="W12" s="9">
        <f t="shared" si="5"/>
        <v>59.351937084214711</v>
      </c>
      <c r="X12" s="9">
        <f t="shared" si="6"/>
        <v>54.45666484532191</v>
      </c>
      <c r="Y12" s="9">
        <f t="shared" si="7"/>
        <v>53.306690939282234</v>
      </c>
      <c r="Z12" s="9">
        <f t="shared" si="8"/>
        <v>55.87526074268817</v>
      </c>
      <c r="AA12" s="9">
        <f t="shared" si="9"/>
        <v>54.040632970596349</v>
      </c>
      <c r="AB12" s="9">
        <f t="shared" si="10"/>
        <v>56.366840349653906</v>
      </c>
      <c r="AC12" s="9">
        <f t="shared" si="11"/>
        <v>56.248290005567995</v>
      </c>
      <c r="AD12" s="9">
        <f t="shared" si="12"/>
        <v>56.778673313648028</v>
      </c>
      <c r="AE12" s="9">
        <f t="shared" si="13"/>
        <v>56.069921800231839</v>
      </c>
    </row>
    <row r="13" spans="2:31" x14ac:dyDescent="0.2">
      <c r="B13" s="134" t="s">
        <v>66</v>
      </c>
      <c r="C13" s="9">
        <f>$Q$3*C12+$Q$3*Test_Seasonality!C16</f>
        <v>51.204674252093881</v>
      </c>
      <c r="D13" s="9">
        <f>$Q$3*D12+$Q$3*Test_Seasonality!D16</f>
        <v>49.773966409822094</v>
      </c>
      <c r="E13" s="9">
        <f>$Q$3*E12+$Q$3*Test_Seasonality!E16</f>
        <v>40.69136962268135</v>
      </c>
      <c r="F13" s="9">
        <f>$Q$3*F12+$Q$3*Test_Seasonality!F16</f>
        <v>43.242401349181577</v>
      </c>
      <c r="G13" s="9">
        <f>$Q$3*G12+$Q$3*Test_Seasonality!G16</f>
        <v>41.845841163841854</v>
      </c>
      <c r="H13" s="9">
        <f>$Q$3*H12+$Q$3*Test_Seasonality!H16</f>
        <v>43.325233595569173</v>
      </c>
      <c r="I13" s="9">
        <f>$Q$3*I12+$Q$3*Test_Seasonality!I16</f>
        <v>43.574295609888694</v>
      </c>
      <c r="J13" s="9">
        <f>$Q$3*J12+$Q$3*Test_Seasonality!J16</f>
        <v>43.768923562413278</v>
      </c>
      <c r="K13" s="9">
        <f>$Q$3*K12+$Q$3*Test_Seasonality!K16</f>
        <v>42.40282739142858</v>
      </c>
      <c r="L13" s="9">
        <f>$Q$3*L12+$Q$3*Test_Seasonality!L16</f>
        <v>41.729604654864005</v>
      </c>
      <c r="M13" s="9">
        <f>$Q$3*M12+$Q$3*Test_Seasonality!M16</f>
        <v>49.153770153608555</v>
      </c>
      <c r="N13" s="9">
        <f>$Q$3*N12+$Q$3*Test_Seasonality!N16</f>
        <v>49.078892549914229</v>
      </c>
      <c r="P13" s="9">
        <f t="shared" si="15"/>
        <v>46.258306292493295</v>
      </c>
      <c r="Q13" s="9">
        <f t="shared" si="14"/>
        <v>-1.2355161274207336</v>
      </c>
      <c r="S13" s="134" t="s">
        <v>67</v>
      </c>
      <c r="T13" s="9">
        <f t="shared" si="2"/>
        <v>54.886958668976455</v>
      </c>
      <c r="U13" s="9">
        <f t="shared" si="3"/>
        <v>54.404425726767442</v>
      </c>
      <c r="V13" s="9">
        <f t="shared" si="4"/>
        <v>49.612022218837197</v>
      </c>
      <c r="W13" s="9">
        <f t="shared" si="5"/>
        <v>52.323112601032108</v>
      </c>
      <c r="X13" s="9">
        <f t="shared" si="6"/>
        <v>49.11427806467352</v>
      </c>
      <c r="Y13" s="9">
        <f t="shared" si="7"/>
        <v>49.282281512774219</v>
      </c>
      <c r="Z13" s="9">
        <f t="shared" si="8"/>
        <v>50.719273739814199</v>
      </c>
      <c r="AA13" s="9">
        <f t="shared" si="9"/>
        <v>49.882873831834914</v>
      </c>
      <c r="AB13" s="9">
        <f t="shared" si="10"/>
        <v>50.372530547952067</v>
      </c>
      <c r="AC13" s="9">
        <f t="shared" si="11"/>
        <v>49.96872627682032</v>
      </c>
      <c r="AD13" s="9">
        <f t="shared" si="12"/>
        <v>54.025546168300856</v>
      </c>
      <c r="AE13" s="9">
        <f t="shared" si="13"/>
        <v>53.625895318574493</v>
      </c>
    </row>
    <row r="14" spans="2:31" x14ac:dyDescent="0.2">
      <c r="B14" s="134" t="s">
        <v>68</v>
      </c>
      <c r="C14" s="9">
        <f>$Q$3*C13+$Q$3*Test_Seasonality!C17</f>
        <v>46.402183868567882</v>
      </c>
      <c r="D14" s="9">
        <f>$Q$3*D13+$Q$3*Test_Seasonality!D17</f>
        <v>50.527722869009267</v>
      </c>
      <c r="E14" s="9">
        <f>$Q$3*E13+$Q$3*Test_Seasonality!E17</f>
        <v>47.211398507567488</v>
      </c>
      <c r="F14" s="9">
        <f>$Q$3*F13+$Q$3*Test_Seasonality!F17</f>
        <v>49.282524688082603</v>
      </c>
      <c r="G14" s="9">
        <f>$Q$3*G13+$Q$3*Test_Seasonality!G17</f>
        <v>49.824878993559352</v>
      </c>
      <c r="H14" s="9">
        <f>$Q$3*H13+$Q$3*Test_Seasonality!H17</f>
        <v>49.059569133740283</v>
      </c>
      <c r="I14" s="9">
        <f>$Q$3*I13+$Q$3*Test_Seasonality!I17</f>
        <v>48.462390761043238</v>
      </c>
      <c r="J14" s="9">
        <f>$Q$3*J13+$Q$3*Test_Seasonality!J17</f>
        <v>49.709151016830774</v>
      </c>
      <c r="K14" s="9">
        <f>$Q$3*K13+$Q$3*Test_Seasonality!K17</f>
        <v>49.899841969628575</v>
      </c>
      <c r="L14" s="9">
        <f>$Q$3*L13+$Q$3*Test_Seasonality!L17</f>
        <v>50.811098373980641</v>
      </c>
      <c r="M14" s="9">
        <f>$Q$3*M13+$Q$3*Test_Seasonality!M17</f>
        <v>53.159222778340364</v>
      </c>
      <c r="N14" s="9">
        <f>$Q$3*N13+$Q$3*Test_Seasonality!N17</f>
        <v>56.038235200456256</v>
      </c>
      <c r="P14" s="9">
        <f t="shared" si="15"/>
        <v>56.222077262251624</v>
      </c>
      <c r="Q14" s="9">
        <f t="shared" si="14"/>
        <v>1.9183682792415981</v>
      </c>
      <c r="S14" s="134" t="s">
        <v>69</v>
      </c>
      <c r="T14" s="137">
        <f t="shared" ref="T14:AE15" si="16">$Q$3*C14+$Q$3*T13</f>
        <v>51.657462694147611</v>
      </c>
      <c r="U14" s="137">
        <f t="shared" si="16"/>
        <v>53.515395783846124</v>
      </c>
      <c r="V14" s="137">
        <f t="shared" si="16"/>
        <v>49.379944570466392</v>
      </c>
      <c r="W14" s="137">
        <f t="shared" si="16"/>
        <v>51.818875017448505</v>
      </c>
      <c r="X14" s="137">
        <f t="shared" si="16"/>
        <v>50.458970099698767</v>
      </c>
      <c r="Y14" s="137">
        <f t="shared" si="16"/>
        <v>50.154343829722393</v>
      </c>
      <c r="Z14" s="137">
        <f t="shared" si="16"/>
        <v>50.582648895437295</v>
      </c>
      <c r="AA14" s="137">
        <f t="shared" si="16"/>
        <v>50.791932672819499</v>
      </c>
      <c r="AB14" s="137">
        <f t="shared" si="16"/>
        <v>51.13890998396613</v>
      </c>
      <c r="AC14" s="137">
        <f t="shared" si="16"/>
        <v>51.39771057190849</v>
      </c>
      <c r="AD14" s="137">
        <f t="shared" si="16"/>
        <v>54.664232162787023</v>
      </c>
      <c r="AE14" s="137">
        <f t="shared" si="16"/>
        <v>55.928706564705678</v>
      </c>
    </row>
    <row r="15" spans="2:31" x14ac:dyDescent="0.2">
      <c r="B15" s="134" t="s">
        <v>70</v>
      </c>
      <c r="C15" s="9">
        <f>$Q$3*C14+$Q$3*Test_Seasonality!C18</f>
        <v>55.790785305595612</v>
      </c>
      <c r="D15" s="9">
        <f>$Q$3*D14+$Q$3*Test_Seasonality!D18</f>
        <v>52.549141514547387</v>
      </c>
      <c r="E15" s="9">
        <f>$Q$3*E14+$Q$3*Test_Seasonality!E18</f>
        <v>50.564850324623457</v>
      </c>
      <c r="F15" s="9">
        <f>$Q$3*F14+$Q$3*Test_Seasonality!F18</f>
        <v>50.480962551879372</v>
      </c>
      <c r="G15" s="9">
        <f>$Q$3*G14+$Q$3*Test_Seasonality!G18</f>
        <v>52.486897316675538</v>
      </c>
      <c r="H15" s="9">
        <f>$Q$3*H14+$Q$3*Test_Seasonality!H18</f>
        <v>48.162526013510643</v>
      </c>
      <c r="I15" s="9">
        <f>$Q$3*I14+$Q$3*Test_Seasonality!I18</f>
        <v>48.184233635114907</v>
      </c>
      <c r="J15" s="9">
        <f>$Q$3*J14+$Q$3*Test_Seasonality!J18</f>
        <v>49.055942850954196</v>
      </c>
      <c r="K15" s="9">
        <f>$Q$3*K14+$Q$3*Test_Seasonality!K18</f>
        <v>47.683648645529551</v>
      </c>
      <c r="L15" s="9">
        <f>$Q$3*L14+$Q$3*Test_Seasonality!L18</f>
        <v>50.145208805743707</v>
      </c>
      <c r="M15" s="9">
        <f>$Q$3*M14+$Q$3*Test_Seasonality!M18</f>
        <v>54.350358249063561</v>
      </c>
      <c r="N15" s="9">
        <f>$Q$3*N14+$Q$3*Test_Seasonality!N18</f>
        <v>55.737059574157861</v>
      </c>
      <c r="P15" s="9">
        <f t="shared" si="15"/>
        <v>65.138637340819159</v>
      </c>
      <c r="Q15" s="9">
        <f t="shared" si="14"/>
        <v>3.5797611854869347</v>
      </c>
      <c r="S15" s="134" t="s">
        <v>71</v>
      </c>
      <c r="T15" s="144">
        <f t="shared" si="16"/>
        <v>54.798606479869044</v>
      </c>
      <c r="U15" s="144">
        <f t="shared" si="16"/>
        <v>54.092914022180693</v>
      </c>
      <c r="V15" s="144">
        <f t="shared" si="16"/>
        <v>50.971845396495823</v>
      </c>
      <c r="W15" s="144">
        <f t="shared" si="16"/>
        <v>52.172917160357215</v>
      </c>
      <c r="X15" s="144">
        <f t="shared" si="16"/>
        <v>52.502392382350898</v>
      </c>
      <c r="Y15" s="144">
        <f t="shared" si="16"/>
        <v>50.141603620048855</v>
      </c>
      <c r="Z15" s="144">
        <f t="shared" si="16"/>
        <v>50.371110090581624</v>
      </c>
      <c r="AA15" s="144">
        <f t="shared" si="16"/>
        <v>50.922416517124589</v>
      </c>
      <c r="AB15" s="144">
        <f t="shared" si="16"/>
        <v>50.399504901042796</v>
      </c>
      <c r="AC15" s="144">
        <f t="shared" si="16"/>
        <v>51.786888882602625</v>
      </c>
      <c r="AD15" s="144">
        <f t="shared" si="16"/>
        <v>55.597441110043803</v>
      </c>
      <c r="AE15" s="144">
        <f t="shared" si="16"/>
        <v>56.949540730820402</v>
      </c>
    </row>
    <row r="16" spans="2:31" x14ac:dyDescent="0.2">
      <c r="P16" s="9">
        <f t="shared" si="15"/>
        <v>48.305830791723892</v>
      </c>
      <c r="Q16" s="9">
        <f t="shared" si="14"/>
        <v>-4.2210215271728471</v>
      </c>
    </row>
    <row r="17" spans="16:31" x14ac:dyDescent="0.2">
      <c r="P17" s="9">
        <f t="shared" si="15"/>
        <v>47.522389835211307</v>
      </c>
      <c r="Q17" s="9">
        <f t="shared" si="14"/>
        <v>-3.8325817400206383</v>
      </c>
    </row>
    <row r="18" spans="16:31" x14ac:dyDescent="0.2">
      <c r="P18" s="9">
        <f>2*C14-T14</f>
        <v>41.146905042988152</v>
      </c>
      <c r="Q18" s="9">
        <f t="shared" si="14"/>
        <v>-5.4697800021340051</v>
      </c>
      <c r="T18" s="133" t="s">
        <v>2</v>
      </c>
      <c r="U18" s="133" t="s">
        <v>3</v>
      </c>
      <c r="V18" s="133" t="s">
        <v>4</v>
      </c>
      <c r="W18" s="133" t="s">
        <v>5</v>
      </c>
      <c r="X18" s="133" t="s">
        <v>6</v>
      </c>
      <c r="Y18" s="133" t="s">
        <v>7</v>
      </c>
      <c r="Z18" s="133" t="s">
        <v>8</v>
      </c>
      <c r="AA18" s="133" t="s">
        <v>9</v>
      </c>
      <c r="AB18" s="133" t="s">
        <v>10</v>
      </c>
      <c r="AC18" s="133" t="s">
        <v>11</v>
      </c>
      <c r="AD18" s="133" t="s">
        <v>12</v>
      </c>
      <c r="AE18" s="133" t="s">
        <v>13</v>
      </c>
    </row>
    <row r="19" spans="16:31" x14ac:dyDescent="0.2">
      <c r="S19" s="141" t="s">
        <v>69</v>
      </c>
      <c r="T19" s="142">
        <f>$Q$3*C14+$Q$3*T13</f>
        <v>51.657462694147611</v>
      </c>
      <c r="U19" s="142">
        <f t="shared" ref="U19:AE19" si="17">$Q$3*D14+$Q$3*U13</f>
        <v>53.515395783846124</v>
      </c>
      <c r="V19" s="142">
        <f t="shared" si="17"/>
        <v>49.379944570466392</v>
      </c>
      <c r="W19" s="142">
        <f t="shared" si="17"/>
        <v>51.818875017448505</v>
      </c>
      <c r="X19" s="142">
        <f t="shared" si="17"/>
        <v>50.458970099698767</v>
      </c>
      <c r="Y19" s="142">
        <f t="shared" si="17"/>
        <v>50.154343829722393</v>
      </c>
      <c r="Z19" s="142">
        <f t="shared" si="17"/>
        <v>50.582648895437295</v>
      </c>
      <c r="AA19" s="142">
        <f t="shared" si="17"/>
        <v>50.791932672819499</v>
      </c>
      <c r="AB19" s="142">
        <f t="shared" si="17"/>
        <v>51.13890998396613</v>
      </c>
      <c r="AC19" s="142">
        <f t="shared" si="17"/>
        <v>51.39771057190849</v>
      </c>
      <c r="AD19" s="142">
        <f t="shared" si="17"/>
        <v>54.664232162787023</v>
      </c>
      <c r="AE19" s="142">
        <f t="shared" si="17"/>
        <v>55.928706564705678</v>
      </c>
    </row>
    <row r="20" spans="16:31" x14ac:dyDescent="0.2">
      <c r="S20" s="140">
        <v>2022</v>
      </c>
      <c r="T20" s="76">
        <f>EXP(Test_Seasonality!C3)</f>
        <v>62.991512809070571</v>
      </c>
      <c r="U20" s="76">
        <f>EXP(Test_Seasonality!D3)</f>
        <v>52.509809512456187</v>
      </c>
      <c r="V20" s="76">
        <f>EXP(Test_Seasonality!E3)</f>
        <v>51.935366834831441</v>
      </c>
      <c r="W20" s="76">
        <f>EXP(Test_Seasonality!F3)</f>
        <v>49.699754825406366</v>
      </c>
      <c r="X20" s="76">
        <f>EXP(Test_Seasonality!G3)</f>
        <v>53.090605941098566</v>
      </c>
      <c r="Y20" s="76">
        <f>EXP(Test_Seasonality!H3)</f>
        <v>45.376756382947249</v>
      </c>
      <c r="Z20" s="76">
        <f>EXP(Test_Seasonality!I3)</f>
        <v>46.016498719574216</v>
      </c>
      <c r="AA20" s="76">
        <f>EXP(Test_Seasonality!J3)</f>
        <v>46.478972220334327</v>
      </c>
      <c r="AB20" s="76">
        <f>EXP(Test_Seasonality!K3)</f>
        <v>43.597508315723488</v>
      </c>
      <c r="AC20" s="76">
        <f>EXP(Test_Seasonality!L3)</f>
        <v>47.512840460810942</v>
      </c>
      <c r="AD20" s="76">
        <f>EXP(Test_Seasonality!M3)</f>
        <v>53.410107121784264</v>
      </c>
      <c r="AE20" s="76">
        <f>EXP(Test_Seasonality!N3)</f>
        <v>53.250116905735624</v>
      </c>
    </row>
    <row r="21" spans="16:31" x14ac:dyDescent="0.2">
      <c r="S21" s="143" t="s">
        <v>72</v>
      </c>
      <c r="T21" s="9">
        <v>60.796660000000003</v>
      </c>
      <c r="U21" s="9">
        <v>61.302819999999997</v>
      </c>
      <c r="V21" s="9">
        <v>56.917319999999997</v>
      </c>
      <c r="W21" s="9">
        <v>57.68235</v>
      </c>
      <c r="X21" s="9">
        <v>56.973739999999999</v>
      </c>
      <c r="Y21" s="9">
        <v>55.396619999999999</v>
      </c>
      <c r="Z21" s="9">
        <v>55.86018</v>
      </c>
      <c r="AA21" s="9">
        <v>56.95194</v>
      </c>
      <c r="AB21" s="9">
        <v>59.218510000000002</v>
      </c>
      <c r="AC21" s="9">
        <v>61.477449999999997</v>
      </c>
      <c r="AD21" s="9">
        <v>64.712389999999999</v>
      </c>
      <c r="AE21" s="9">
        <v>65.103970000000004</v>
      </c>
    </row>
    <row r="24" spans="16:31" x14ac:dyDescent="0.2">
      <c r="P24" t="s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3373-129C-4B25-9380-CD9480454191}">
  <dimension ref="B2:AP48"/>
  <sheetViews>
    <sheetView workbookViewId="0">
      <selection activeCell="O38" sqref="O38"/>
    </sheetView>
  </sheetViews>
  <sheetFormatPr baseColWidth="10" defaultColWidth="8.83203125" defaultRowHeight="15" x14ac:dyDescent="0.2"/>
  <cols>
    <col min="17" max="17" width="9.33203125" bestFit="1" customWidth="1"/>
    <col min="20" max="31" width="9.33203125" bestFit="1" customWidth="1"/>
    <col min="38" max="38" width="10.5" customWidth="1"/>
    <col min="39" max="39" width="12" customWidth="1"/>
    <col min="43" max="43" width="18.5" customWidth="1"/>
  </cols>
  <sheetData>
    <row r="2" spans="2:42" x14ac:dyDescent="0.2">
      <c r="AL2" s="154" t="s">
        <v>44</v>
      </c>
      <c r="AM2" s="9">
        <v>0.501</v>
      </c>
    </row>
    <row r="3" spans="2:42" x14ac:dyDescent="0.2">
      <c r="C3" s="158" t="s">
        <v>2</v>
      </c>
      <c r="D3" s="158" t="s">
        <v>3</v>
      </c>
      <c r="E3" s="158" t="s">
        <v>4</v>
      </c>
      <c r="F3" s="158" t="s">
        <v>5</v>
      </c>
      <c r="G3" s="158" t="s">
        <v>6</v>
      </c>
      <c r="H3" s="158" t="s">
        <v>7</v>
      </c>
      <c r="I3" s="158" t="s">
        <v>8</v>
      </c>
      <c r="J3" s="158" t="s">
        <v>9</v>
      </c>
      <c r="K3" s="158" t="s">
        <v>10</v>
      </c>
      <c r="L3" s="158" t="s">
        <v>11</v>
      </c>
      <c r="M3" s="158" t="s">
        <v>12</v>
      </c>
      <c r="N3" s="158" t="s">
        <v>13</v>
      </c>
      <c r="P3" s="136" t="s">
        <v>44</v>
      </c>
      <c r="Q3" s="9">
        <v>0.50690000000000002</v>
      </c>
      <c r="T3" s="159" t="s">
        <v>2</v>
      </c>
      <c r="U3" s="159" t="s">
        <v>3</v>
      </c>
      <c r="V3" s="159" t="s">
        <v>4</v>
      </c>
      <c r="W3" s="159" t="s">
        <v>5</v>
      </c>
      <c r="X3" s="159" t="s">
        <v>6</v>
      </c>
      <c r="Y3" s="159" t="s">
        <v>7</v>
      </c>
      <c r="Z3" s="159" t="s">
        <v>8</v>
      </c>
      <c r="AA3" s="159" t="s">
        <v>9</v>
      </c>
      <c r="AB3" s="159" t="s">
        <v>10</v>
      </c>
      <c r="AC3" s="159" t="s">
        <v>11</v>
      </c>
      <c r="AD3" s="159" t="s">
        <v>12</v>
      </c>
      <c r="AE3" s="159" t="s">
        <v>13</v>
      </c>
    </row>
    <row r="4" spans="2:42" x14ac:dyDescent="0.2">
      <c r="B4" s="134" t="s">
        <v>45</v>
      </c>
      <c r="C4" s="9">
        <f>Test_Seasonality!C8</f>
        <v>32.369999999999997</v>
      </c>
      <c r="D4" s="9">
        <f>Test_Seasonality!D8</f>
        <v>36.6</v>
      </c>
      <c r="E4" s="9">
        <f>Test_Seasonality!E8</f>
        <v>35.58</v>
      </c>
      <c r="F4" s="9">
        <f>Test_Seasonality!F8</f>
        <v>30.35</v>
      </c>
      <c r="G4" s="9">
        <f>Test_Seasonality!G8</f>
        <v>25.73</v>
      </c>
      <c r="H4" s="9">
        <f>Test_Seasonality!H8</f>
        <v>30.33</v>
      </c>
      <c r="I4" s="9">
        <f>Test_Seasonality!I8</f>
        <v>30.17</v>
      </c>
      <c r="J4" s="9">
        <f>Test_Seasonality!J8</f>
        <v>34.6</v>
      </c>
      <c r="K4" s="9">
        <f>Test_Seasonality!K8</f>
        <v>36.979999999999997</v>
      </c>
      <c r="L4" s="9">
        <f>Test_Seasonality!L8</f>
        <v>38.81</v>
      </c>
      <c r="M4" s="9">
        <f>Test_Seasonality!M8</f>
        <v>42.94</v>
      </c>
      <c r="N4" s="9">
        <f>Test_Seasonality!N8</f>
        <v>42.6</v>
      </c>
      <c r="S4" s="134" t="s">
        <v>46</v>
      </c>
      <c r="T4" s="9">
        <f t="shared" ref="T4:AE4" si="0">C4</f>
        <v>32.369999999999997</v>
      </c>
      <c r="U4" s="9">
        <f t="shared" si="0"/>
        <v>36.6</v>
      </c>
      <c r="V4" s="9">
        <f t="shared" si="0"/>
        <v>35.58</v>
      </c>
      <c r="W4" s="9">
        <f t="shared" si="0"/>
        <v>30.35</v>
      </c>
      <c r="X4" s="9">
        <f t="shared" si="0"/>
        <v>25.73</v>
      </c>
      <c r="Y4" s="9">
        <f t="shared" si="0"/>
        <v>30.33</v>
      </c>
      <c r="Z4" s="9">
        <f t="shared" si="0"/>
        <v>30.17</v>
      </c>
      <c r="AA4" s="9">
        <f t="shared" si="0"/>
        <v>34.6</v>
      </c>
      <c r="AB4" s="9">
        <f t="shared" si="0"/>
        <v>36.979999999999997</v>
      </c>
      <c r="AC4" s="9">
        <f t="shared" si="0"/>
        <v>38.81</v>
      </c>
      <c r="AD4" s="9">
        <f t="shared" si="0"/>
        <v>42.94</v>
      </c>
      <c r="AE4" s="9">
        <f t="shared" si="0"/>
        <v>42.6</v>
      </c>
      <c r="AJ4" s="153" t="s">
        <v>74</v>
      </c>
      <c r="AK4" s="153" t="s">
        <v>75</v>
      </c>
      <c r="AL4" s="153" t="s">
        <v>76</v>
      </c>
      <c r="AM4" s="153" t="s">
        <v>77</v>
      </c>
      <c r="AN4" s="153" t="s">
        <v>78</v>
      </c>
      <c r="AO4" s="153" t="s">
        <v>79</v>
      </c>
      <c r="AP4" s="153" t="s">
        <v>80</v>
      </c>
    </row>
    <row r="5" spans="2:42" x14ac:dyDescent="0.2">
      <c r="B5" s="134" t="s">
        <v>47</v>
      </c>
      <c r="C5" s="9">
        <f>$Q$3*C4+$Q$3*Test_Seasonality!C8</f>
        <v>32.816705999999996</v>
      </c>
      <c r="D5" s="9">
        <f>$Q$3*D4+$Q$3*Test_Seasonality!D8</f>
        <v>37.105080000000001</v>
      </c>
      <c r="E5" s="9">
        <f>$Q$3*E4+$Q$3*Test_Seasonality!E8</f>
        <v>36.071004000000002</v>
      </c>
      <c r="F5" s="9">
        <f>$Q$3*F4+$Q$3*Test_Seasonality!F8</f>
        <v>30.768830000000001</v>
      </c>
      <c r="G5" s="9">
        <f>$Q$3*G4+$Q$3*Test_Seasonality!G8</f>
        <v>26.085074000000002</v>
      </c>
      <c r="H5" s="9">
        <f>$Q$3*H4+$Q$3*Test_Seasonality!H8</f>
        <v>30.748553999999999</v>
      </c>
      <c r="I5" s="9">
        <f>$Q$3*I4+$Q$3*Test_Seasonality!I8</f>
        <v>30.586346000000002</v>
      </c>
      <c r="J5" s="9">
        <f>$Q$3*J4+$Q$3*Test_Seasonality!J8</f>
        <v>35.077480000000001</v>
      </c>
      <c r="K5" s="9">
        <f>$Q$3*K4+$Q$3*Test_Seasonality!K8</f>
        <v>37.490324000000001</v>
      </c>
      <c r="L5" s="9">
        <f>$Q$3*L4+$Q$3*Test_Seasonality!L8</f>
        <v>39.345578000000003</v>
      </c>
      <c r="M5" s="9">
        <f>$Q$3*M4+$Q$3*Test_Seasonality!M8</f>
        <v>43.532572000000002</v>
      </c>
      <c r="N5" s="9">
        <f>$Q$3*N4+$Q$3*Test_Seasonality!N8</f>
        <v>43.18788</v>
      </c>
      <c r="P5" s="138" t="s">
        <v>48</v>
      </c>
      <c r="Q5" s="9">
        <f>(1-Q3)/Q3</f>
        <v>0.97277569540343256</v>
      </c>
      <c r="S5" s="134" t="s">
        <v>49</v>
      </c>
      <c r="T5" s="9">
        <f t="shared" ref="T5:T15" si="1">$Q$3*C5+$Q$3*T4</f>
        <v>33.043141271399996</v>
      </c>
      <c r="U5" s="9">
        <f t="shared" ref="U5:U15" si="2">$Q$3*D5+$Q$3*U4</f>
        <v>37.361105051999999</v>
      </c>
      <c r="V5" s="9">
        <f t="shared" ref="V5:V15" si="3">$Q$3*E5+$Q$3*V4</f>
        <v>36.319893927600006</v>
      </c>
      <c r="W5" s="9">
        <f t="shared" ref="W5:W15" si="4">$Q$3*F5+$Q$3*W4</f>
        <v>30.981134926999999</v>
      </c>
      <c r="X5" s="9">
        <f t="shared" ref="X5:X15" si="5">$Q$3*G5+$Q$3*X4</f>
        <v>26.2650610106</v>
      </c>
      <c r="Y5" s="9">
        <f t="shared" ref="Y5:Y15" si="6">$Q$3*H5+$Q$3*Y4</f>
        <v>30.960719022599999</v>
      </c>
      <c r="Z5" s="9">
        <f t="shared" ref="Z5:Z15" si="7">$Q$3*I5+$Q$3*Z4</f>
        <v>30.797391787400002</v>
      </c>
      <c r="AA5" s="9">
        <f t="shared" ref="AA5:AA15" si="8">$Q$3*J5+$Q$3*AA4</f>
        <v>35.319514612000006</v>
      </c>
      <c r="AB5" s="9">
        <f t="shared" ref="AB5:AB15" si="9">$Q$3*K5+$Q$3*AB4</f>
        <v>37.749007235600004</v>
      </c>
      <c r="AC5" s="9">
        <f t="shared" ref="AC5:AC15" si="10">$Q$3*L5+$Q$3*AC4</f>
        <v>39.617062488200006</v>
      </c>
      <c r="AD5" s="9">
        <f t="shared" ref="AD5:AD15" si="11">$Q$3*M5+$Q$3*AD4</f>
        <v>43.832946746800005</v>
      </c>
      <c r="AE5" s="9">
        <f t="shared" ref="AE5:AE15" si="12">$Q$3*N5+$Q$3*AE4</f>
        <v>43.485876372</v>
      </c>
      <c r="AJ5" s="153" t="s">
        <v>2</v>
      </c>
      <c r="AK5" s="145">
        <f>Test_Seasonality!C17</f>
        <v>39.78</v>
      </c>
      <c r="AL5" s="145">
        <f>AK5</f>
        <v>39.78</v>
      </c>
      <c r="AM5" s="145">
        <f>AL5</f>
        <v>39.78</v>
      </c>
      <c r="AN5" s="145"/>
      <c r="AO5" s="145"/>
      <c r="AP5" s="145"/>
    </row>
    <row r="6" spans="2:42" x14ac:dyDescent="0.2">
      <c r="B6" s="134" t="s">
        <v>50</v>
      </c>
      <c r="C6" s="9">
        <f>$Q$3*C5+$Q$3*Test_Seasonality!C9</f>
        <v>40.058637271400002</v>
      </c>
      <c r="D6" s="9">
        <f>$Q$3*D5+$Q$3*Test_Seasonality!D9</f>
        <v>40.655955052000003</v>
      </c>
      <c r="E6" s="9">
        <f>$Q$3*E5+$Q$3*Test_Seasonality!E9</f>
        <v>38.580667927600004</v>
      </c>
      <c r="F6" s="9">
        <f>$Q$3*F5+$Q$3*Test_Seasonality!F9</f>
        <v>37.043658927000003</v>
      </c>
      <c r="G6" s="9">
        <f>$Q$3*G5+$Q$3*Test_Seasonality!G9</f>
        <v>36.2003010106</v>
      </c>
      <c r="H6" s="9">
        <f>$Q$3*H5+$Q$3*Test_Seasonality!H9</f>
        <v>36.861035022599999</v>
      </c>
      <c r="I6" s="9">
        <f>$Q$3*I5+$Q$3*Test_Seasonality!I9</f>
        <v>40.154765787400002</v>
      </c>
      <c r="J6" s="9">
        <f>$Q$3*J5+$Q$3*Test_Seasonality!J9</f>
        <v>41.807834612000001</v>
      </c>
      <c r="K6" s="9">
        <f>$Q$3*K5+$Q$3*Test_Seasonality!K9</f>
        <v>44.348845235600002</v>
      </c>
      <c r="L6" s="9">
        <f>$Q$3*L5+$Q$3*Test_Seasonality!L9</f>
        <v>47.590599488200006</v>
      </c>
      <c r="M6" s="9">
        <f>$Q$3*M5+$Q$3*Test_Seasonality!M9</f>
        <v>50.072885746799997</v>
      </c>
      <c r="N6" s="9">
        <f>$Q$3*N5+$Q$3*Test_Seasonality!N9</f>
        <v>50.633166372000005</v>
      </c>
      <c r="S6" s="134" t="s">
        <v>51</v>
      </c>
      <c r="T6" s="9">
        <f t="shared" si="1"/>
        <v>37.055291543345319</v>
      </c>
      <c r="U6" s="9">
        <f t="shared" si="2"/>
        <v>39.546847766717605</v>
      </c>
      <c r="V6" s="9">
        <f t="shared" si="3"/>
        <v>37.967094804400887</v>
      </c>
      <c r="W6" s="9">
        <f t="shared" si="4"/>
        <v>34.481768004592602</v>
      </c>
      <c r="X6" s="9">
        <f t="shared" si="5"/>
        <v>31.663692008546281</v>
      </c>
      <c r="Y6" s="9">
        <f t="shared" si="6"/>
        <v>34.378847125511882</v>
      </c>
      <c r="Z6" s="9">
        <f t="shared" si="7"/>
        <v>35.965648674666127</v>
      </c>
      <c r="AA6" s="9">
        <f t="shared" si="8"/>
        <v>39.095853321645606</v>
      </c>
      <c r="AB6" s="9">
        <f t="shared" si="9"/>
        <v>41.615401417651285</v>
      </c>
      <c r="AC6" s="9">
        <f t="shared" si="10"/>
        <v>44.20556385583717</v>
      </c>
      <c r="AD6" s="9">
        <f t="shared" si="11"/>
        <v>47.600866491005846</v>
      </c>
      <c r="AE6" s="9">
        <f t="shared" si="12"/>
        <v>47.708942766933603</v>
      </c>
      <c r="AJ6" s="153" t="s">
        <v>3</v>
      </c>
      <c r="AK6" s="145">
        <f>Test_Seasonality!D17</f>
        <v>49.3</v>
      </c>
      <c r="AL6" s="145">
        <f>$AM$2*AK6+(1-$AM$2)*AL5</f>
        <v>44.549520000000001</v>
      </c>
      <c r="AM6" s="145">
        <f>$AM$2*AL6+(1-$AM$2)*AM5</f>
        <v>42.169529519999998</v>
      </c>
      <c r="AN6" s="145">
        <f>$AM$2*(AL6-AM6)/(1-$AM$2)</f>
        <v>2.3895295200000035</v>
      </c>
      <c r="AO6" s="145">
        <f>2*AL6-AM6</f>
        <v>46.929510480000005</v>
      </c>
      <c r="AP6" s="145">
        <f>AN6+AO6</f>
        <v>49.319040000000008</v>
      </c>
    </row>
    <row r="7" spans="2:42" x14ac:dyDescent="0.2">
      <c r="B7" s="134" t="s">
        <v>52</v>
      </c>
      <c r="C7" s="9">
        <f>$Q$3*C6+$Q$3*Test_Seasonality!C10</f>
        <v>49.427128232872661</v>
      </c>
      <c r="D7" s="9">
        <f>$Q$3*D6+$Q$3*Test_Seasonality!D10</f>
        <v>50.769053615858802</v>
      </c>
      <c r="E7" s="9">
        <f>$Q$3*E6+$Q$3*Test_Seasonality!E10</f>
        <v>47.937871572500441</v>
      </c>
      <c r="F7" s="9">
        <f>$Q$3*F6+$Q$3*Test_Seasonality!F10</f>
        <v>46.205789710096298</v>
      </c>
      <c r="G7" s="9">
        <f>$Q$3*G6+$Q$3*Test_Seasonality!G10</f>
        <v>44.389385582273135</v>
      </c>
      <c r="H7" s="9">
        <f>$Q$3*H6+$Q$3*Test_Seasonality!H10</f>
        <v>43.796684652955946</v>
      </c>
      <c r="I7" s="9">
        <f>$Q$3*I6+$Q$3*Test_Seasonality!I10</f>
        <v>45.44600077763306</v>
      </c>
      <c r="J7" s="9">
        <f>$Q$3*J6+$Q$3*Test_Seasonality!J10</f>
        <v>47.247051364822802</v>
      </c>
      <c r="K7" s="9">
        <f>$Q$3*K6+$Q$3*Test_Seasonality!K10</f>
        <v>49.10281764992564</v>
      </c>
      <c r="L7" s="9">
        <f>$Q$3*L6+$Q$3*Test_Seasonality!L10</f>
        <v>49.539640880568584</v>
      </c>
      <c r="M7" s="9">
        <f>$Q$3*M6+$Q$3*Test_Seasonality!M10</f>
        <v>51.517709785052922</v>
      </c>
      <c r="N7" s="9">
        <f>$Q$3*N6+$Q$3*Test_Seasonality!N10</f>
        <v>50.656122033966803</v>
      </c>
      <c r="P7" s="139" t="s">
        <v>53</v>
      </c>
      <c r="Q7" s="139" t="s">
        <v>54</v>
      </c>
      <c r="S7" s="134" t="s">
        <v>55</v>
      </c>
      <c r="T7" s="9">
        <f t="shared" si="1"/>
        <v>43.837938584564895</v>
      </c>
      <c r="U7" s="9">
        <f t="shared" si="2"/>
        <v>45.781130410827984</v>
      </c>
      <c r="V7" s="9">
        <f t="shared" si="3"/>
        <v>43.545227456451286</v>
      </c>
      <c r="W7" s="9">
        <f t="shared" si="4"/>
        <v>40.900523005575806</v>
      </c>
      <c r="X7" s="9">
        <f t="shared" si="5"/>
        <v>38.551305030786367</v>
      </c>
      <c r="Y7" s="9">
        <f t="shared" si="6"/>
        <v>39.627177058505346</v>
      </c>
      <c r="Z7" s="9">
        <f t="shared" si="7"/>
        <v>41.267565107370459</v>
      </c>
      <c r="AA7" s="9">
        <f t="shared" si="8"/>
        <v>43.767218385570843</v>
      </c>
      <c r="AB7" s="9">
        <f t="shared" si="9"/>
        <v>45.985065245354747</v>
      </c>
      <c r="AC7" s="9">
        <f t="shared" si="10"/>
        <v>47.519444280884073</v>
      </c>
      <c r="AD7" s="9">
        <f t="shared" si="11"/>
        <v>50.243206314334188</v>
      </c>
      <c r="AE7" s="9">
        <f t="shared" si="12"/>
        <v>49.86125134757642</v>
      </c>
      <c r="AJ7" s="153" t="s">
        <v>4</v>
      </c>
      <c r="AK7" s="145">
        <f>Test_Seasonality!E17</f>
        <v>51.88</v>
      </c>
      <c r="AL7" s="145">
        <f t="shared" ref="AL7:AM7" si="13">$AM$2*AK7+(1-$AM$2)*AL6</f>
        <v>48.222090480000006</v>
      </c>
      <c r="AM7" s="145">
        <f t="shared" si="13"/>
        <v>45.201862560960002</v>
      </c>
      <c r="AN7" s="145">
        <f t="shared" ref="AN7:AN15" si="14">$AM$2*(AL7-AM7)/(1-$AM$2)</f>
        <v>3.0323330409600038</v>
      </c>
      <c r="AO7" s="145">
        <f t="shared" ref="AO7:AO15" si="15">2*AL7-AM7</f>
        <v>51.242318399040009</v>
      </c>
      <c r="AP7" s="145">
        <f t="shared" ref="AP7:AP15" si="16">AN7+AO7</f>
        <v>54.274651440000014</v>
      </c>
    </row>
    <row r="8" spans="2:42" x14ac:dyDescent="0.2">
      <c r="B8" s="134" t="s">
        <v>56</v>
      </c>
      <c r="C8" s="9">
        <f>$Q$3*C7+$Q$3*Test_Seasonality!C11</f>
        <v>48.767393301243153</v>
      </c>
      <c r="D8" s="9">
        <f>$Q$3*D7+$Q$3*Test_Seasonality!D11</f>
        <v>52.144323277878826</v>
      </c>
      <c r="E8" s="9">
        <f>$Q$3*E7+$Q$3*Test_Seasonality!E11</f>
        <v>52.975040100100472</v>
      </c>
      <c r="F8" s="9">
        <f>$Q$3*F7+$Q$3*Test_Seasonality!F11</f>
        <v>52.031150804047812</v>
      </c>
      <c r="G8" s="9">
        <f>$Q$3*G7+$Q$3*Test_Seasonality!G11</f>
        <v>50.344996551654255</v>
      </c>
      <c r="H8" s="9">
        <f>$Q$3*H7+$Q$3*Test_Seasonality!H11</f>
        <v>49.649174450583374</v>
      </c>
      <c r="I8" s="9">
        <f>$Q$3*I7+$Q$3*Test_Seasonality!I11</f>
        <v>53.100816794182201</v>
      </c>
      <c r="J8" s="9">
        <f>$Q$3*J7+$Q$3*Test_Seasonality!J11</f>
        <v>52.488000336828676</v>
      </c>
      <c r="K8" s="9">
        <f>$Q$3*K7+$Q$3*Test_Seasonality!K11</f>
        <v>51.482192266747305</v>
      </c>
      <c r="L8" s="9">
        <f>$Q$3*L7+$Q$3*Test_Seasonality!L11</f>
        <v>53.122937962360211</v>
      </c>
      <c r="M8" s="9">
        <f>$Q$3*M7+$Q$3*Test_Seasonality!M11</f>
        <v>54.556486090043329</v>
      </c>
      <c r="N8" s="9">
        <f>$Q$3*N7+$Q$3*Test_Seasonality!N11</f>
        <v>52.137768259017776</v>
      </c>
      <c r="P8" s="9">
        <f>AVERAGE(Test_Seasonality!Q4:S4)</f>
        <v>59.742019062559031</v>
      </c>
      <c r="Q8" s="9">
        <f t="shared" ref="Q8:Q18" si="17">(C4-T4)/$Q$5</f>
        <v>0</v>
      </c>
      <c r="S8" s="134" t="s">
        <v>57</v>
      </c>
      <c r="T8" s="9">
        <f t="shared" si="1"/>
        <v>46.941642732916101</v>
      </c>
      <c r="U8" s="9">
        <f t="shared" si="2"/>
        <v>49.638412474805484</v>
      </c>
      <c r="V8" s="9">
        <f t="shared" si="3"/>
        <v>48.926123624416093</v>
      </c>
      <c r="W8" s="9">
        <f t="shared" si="4"/>
        <v>47.107065454098212</v>
      </c>
      <c r="X8" s="9">
        <f t="shared" si="5"/>
        <v>45.061535272139153</v>
      </c>
      <c r="Y8" s="9">
        <f t="shared" si="6"/>
        <v>45.254182579957074</v>
      </c>
      <c r="Z8" s="9">
        <f t="shared" si="7"/>
        <v>47.835332785897045</v>
      </c>
      <c r="AA8" s="9">
        <f t="shared" si="8"/>
        <v>48.79177037038432</v>
      </c>
      <c r="AB8" s="9">
        <f t="shared" si="9"/>
        <v>49.40615283288453</v>
      </c>
      <c r="AC8" s="9">
        <f t="shared" si="10"/>
        <v>51.015623559100533</v>
      </c>
      <c r="AD8" s="9">
        <f t="shared" si="11"/>
        <v>53.122964079778967</v>
      </c>
      <c r="AE8" s="9">
        <f t="shared" si="12"/>
        <v>51.703303038582604</v>
      </c>
      <c r="AJ8" s="153" t="s">
        <v>5</v>
      </c>
      <c r="AK8" s="145">
        <f>Test_Seasonality!F17</f>
        <v>53.39</v>
      </c>
      <c r="AL8" s="145">
        <f t="shared" ref="AL8:AM8" si="18">$AM$2*AK8+(1-$AM$2)*AL7</f>
        <v>50.81121314952</v>
      </c>
      <c r="AM8" s="145">
        <f t="shared" si="18"/>
        <v>48.012147205828555</v>
      </c>
      <c r="AN8" s="145">
        <f t="shared" si="14"/>
        <v>2.8102846448685654</v>
      </c>
      <c r="AO8" s="145">
        <f t="shared" si="15"/>
        <v>53.610279093211446</v>
      </c>
      <c r="AP8" s="145">
        <f t="shared" si="16"/>
        <v>56.420563738080013</v>
      </c>
    </row>
    <row r="9" spans="2:42" x14ac:dyDescent="0.2">
      <c r="B9" s="134" t="s">
        <v>58</v>
      </c>
      <c r="C9" s="9">
        <f>$Q$3*C8+$Q$3*Test_Seasonality!C12</f>
        <v>46.881859664400153</v>
      </c>
      <c r="D9" s="9">
        <f>$Q$3*D8+$Q$3*Test_Seasonality!D12</f>
        <v>48.228657469556779</v>
      </c>
      <c r="E9" s="9">
        <f>$Q$3*E8+$Q$3*Test_Seasonality!E12</f>
        <v>49.273234826740932</v>
      </c>
      <c r="F9" s="9">
        <f>$Q$3*F8+$Q$3*Test_Seasonality!F12</f>
        <v>49.813646342571836</v>
      </c>
      <c r="G9" s="9">
        <f>$Q$3*G8+$Q$3*Test_Seasonality!G12</f>
        <v>50.743222752033546</v>
      </c>
      <c r="H9" s="9">
        <f>$Q$3*H8+$Q$3*Test_Seasonality!H12</f>
        <v>45.321510529000712</v>
      </c>
      <c r="I9" s="9">
        <f>$Q$3*I8+$Q$3*Test_Seasonality!I12</f>
        <v>49.397819032970958</v>
      </c>
      <c r="J9" s="9">
        <f>$Q$3*J8+$Q$3*Test_Seasonality!J12</f>
        <v>49.720807370738456</v>
      </c>
      <c r="K9" s="9">
        <f>$Q$3*K8+$Q$3*Test_Seasonality!K12</f>
        <v>49.297136260014213</v>
      </c>
      <c r="L9" s="9">
        <f>$Q$3*L8+$Q$3*Test_Seasonality!L12</f>
        <v>53.712613253120395</v>
      </c>
      <c r="M9" s="9">
        <f>$Q$3*M8+$Q$3*Test_Seasonality!M12</f>
        <v>55.422664799042963</v>
      </c>
      <c r="N9" s="9">
        <f>$Q$3*N8+$Q$3*Test_Seasonality!N12</f>
        <v>57.146774730496112</v>
      </c>
      <c r="P9" s="9">
        <f t="shared" ref="P9:P18" si="19">2*C5-T5</f>
        <v>32.590270728599997</v>
      </c>
      <c r="Q9" s="9">
        <f t="shared" si="17"/>
        <v>-0.2327723363874668</v>
      </c>
      <c r="S9" s="134" t="s">
        <v>59</v>
      </c>
      <c r="T9" s="9">
        <f t="shared" si="1"/>
        <v>47.559133365199614</v>
      </c>
      <c r="U9" s="9">
        <f t="shared" si="2"/>
        <v>49.608817754797229</v>
      </c>
      <c r="V9" s="9">
        <f t="shared" si="3"/>
        <v>49.777254798891498</v>
      </c>
      <c r="W9" s="9">
        <f t="shared" si="4"/>
        <v>49.129108809732045</v>
      </c>
      <c r="X9" s="9">
        <f t="shared" si="5"/>
        <v>48.563431842453141</v>
      </c>
      <c r="Y9" s="9">
        <f t="shared" si="6"/>
        <v>45.912818836930704</v>
      </c>
      <c r="Z9" s="9">
        <f t="shared" si="7"/>
        <v>49.287484656984191</v>
      </c>
      <c r="AA9" s="9">
        <f t="shared" si="8"/>
        <v>49.936025656975133</v>
      </c>
      <c r="AB9" s="9">
        <f t="shared" si="9"/>
        <v>50.032697241190377</v>
      </c>
      <c r="AC9" s="9">
        <f t="shared" si="10"/>
        <v>53.086743240114785</v>
      </c>
      <c r="AD9" s="9">
        <f t="shared" si="11"/>
        <v>55.021779278674842</v>
      </c>
      <c r="AE9" s="9">
        <f t="shared" si="12"/>
        <v>55.176104421146007</v>
      </c>
      <c r="AJ9" s="153" t="s">
        <v>6</v>
      </c>
      <c r="AK9" s="145">
        <f>Test_Seasonality!G17</f>
        <v>55.85</v>
      </c>
      <c r="AL9" s="145">
        <f t="shared" ref="AL9:AM9" si="20">$AM$2*AK9+(1-$AM$2)*AL8</f>
        <v>53.335645361610482</v>
      </c>
      <c r="AM9" s="145">
        <f t="shared" si="20"/>
        <v>50.679219781875304</v>
      </c>
      <c r="AN9" s="145">
        <f t="shared" si="14"/>
        <v>2.6670725760467415</v>
      </c>
      <c r="AO9" s="145">
        <f t="shared" si="15"/>
        <v>55.992070941345659</v>
      </c>
      <c r="AP9" s="145">
        <f t="shared" si="16"/>
        <v>58.659143517392401</v>
      </c>
    </row>
    <row r="10" spans="2:42" x14ac:dyDescent="0.2">
      <c r="B10" s="134" t="s">
        <v>60</v>
      </c>
      <c r="C10" s="9">
        <f>$Q$3*C9+$Q$3*Test_Seasonality!C13</f>
        <v>53.762756663884439</v>
      </c>
      <c r="D10" s="9">
        <f>$Q$3*D9+$Q$3*Test_Seasonality!D13</f>
        <v>52.377296471318331</v>
      </c>
      <c r="E10" s="9">
        <f>$Q$3*E9+$Q$3*Test_Seasonality!E13</f>
        <v>56.622369733674979</v>
      </c>
      <c r="F10" s="9">
        <f>$Q$3*F9+$Q$3*Test_Seasonality!F13</f>
        <v>58.087519331049663</v>
      </c>
      <c r="G10" s="9">
        <f>$Q$3*G9+$Q$3*Test_Seasonality!G13</f>
        <v>57.565197613005807</v>
      </c>
      <c r="H10" s="9">
        <f>$Q$3*H9+$Q$3*Test_Seasonality!H13</f>
        <v>54.938587687150466</v>
      </c>
      <c r="I10" s="9">
        <f>$Q$3*I9+$Q$3*Test_Seasonality!I13</f>
        <v>58.277187467812979</v>
      </c>
      <c r="J10" s="9">
        <f>$Q$3*J9+$Q$3*Test_Seasonality!J13</f>
        <v>57.594387256227321</v>
      </c>
      <c r="K10" s="9">
        <f>$Q$3*K9+$Q$3*Test_Seasonality!K13</f>
        <v>59.584643370201206</v>
      </c>
      <c r="L10" s="9">
        <f>$Q$3*L9+$Q$3*Test_Seasonality!L13</f>
        <v>61.209499658006735</v>
      </c>
      <c r="M10" s="9">
        <f>$Q$3*M9+$Q$3*Test_Seasonality!M13</f>
        <v>60.322450786634874</v>
      </c>
      <c r="N10" s="9">
        <f>$Q$3*N9+$Q$3*Test_Seasonality!N13</f>
        <v>60.547570110888479</v>
      </c>
      <c r="P10" s="9">
        <f t="shared" si="19"/>
        <v>43.061982999454685</v>
      </c>
      <c r="Q10" s="9">
        <f t="shared" si="17"/>
        <v>3.0873979913829217</v>
      </c>
      <c r="S10" s="134" t="s">
        <v>61</v>
      </c>
      <c r="T10" s="9">
        <f t="shared" si="1"/>
        <v>51.360066055742706</v>
      </c>
      <c r="U10" s="9">
        <f t="shared" si="2"/>
        <v>51.696761301217975</v>
      </c>
      <c r="V10" s="9">
        <f t="shared" si="3"/>
        <v>53.933969675557947</v>
      </c>
      <c r="W10" s="9">
        <f t="shared" si="4"/>
        <v>54.348108804562244</v>
      </c>
      <c r="X10" s="9">
        <f t="shared" si="5"/>
        <v>53.796602270972144</v>
      </c>
      <c r="Y10" s="9">
        <f t="shared" si="6"/>
        <v>51.121577967056751</v>
      </c>
      <c r="Z10" s="9">
        <f t="shared" si="7"/>
        <v>54.52453230005969</v>
      </c>
      <c r="AA10" s="9">
        <f t="shared" si="8"/>
        <v>54.507166305702327</v>
      </c>
      <c r="AB10" s="9">
        <f t="shared" si="9"/>
        <v>55.565029955914397</v>
      </c>
      <c r="AC10" s="9">
        <f t="shared" si="10"/>
        <v>57.936765525057801</v>
      </c>
      <c r="AD10" s="9">
        <f t="shared" si="11"/>
        <v>58.467990220105499</v>
      </c>
      <c r="AE10" s="9">
        <f t="shared" si="12"/>
        <v>58.660330620288278</v>
      </c>
      <c r="AJ10" s="153" t="s">
        <v>7</v>
      </c>
      <c r="AK10" s="145">
        <f>Test_Seasonality!H17</f>
        <v>52.87</v>
      </c>
      <c r="AL10" s="145">
        <f t="shared" ref="AL10:AM10" si="21">$AM$2*AK10+(1-$AM$2)*AL9</f>
        <v>53.102357035443632</v>
      </c>
      <c r="AM10" s="145">
        <f t="shared" si="21"/>
        <v>51.893211545913033</v>
      </c>
      <c r="AN10" s="145">
        <f t="shared" si="14"/>
        <v>1.2139917640377351</v>
      </c>
      <c r="AO10" s="145">
        <f t="shared" si="15"/>
        <v>54.31150252497423</v>
      </c>
      <c r="AP10" s="145">
        <f t="shared" si="16"/>
        <v>55.525494289011966</v>
      </c>
    </row>
    <row r="11" spans="2:42" x14ac:dyDescent="0.2">
      <c r="B11" s="134" t="s">
        <v>62</v>
      </c>
      <c r="C11" s="9">
        <f>$Q$3*C10+$Q$3*Test_Seasonality!C14</f>
        <v>61.011881352923027</v>
      </c>
      <c r="D11" s="9">
        <f>$Q$3*D10+$Q$3*Test_Seasonality!D14</f>
        <v>59.701311581311259</v>
      </c>
      <c r="E11" s="9">
        <f>$Q$3*E10+$Q$3*Test_Seasonality!E14</f>
        <v>59.202052217999849</v>
      </c>
      <c r="F11" s="9">
        <f>$Q$3*F10+$Q$3*Test_Seasonality!F14</f>
        <v>61.87602554890907</v>
      </c>
      <c r="G11" s="9">
        <f>$Q$3*G10+$Q$3*Test_Seasonality!G14</f>
        <v>56.07591267003265</v>
      </c>
      <c r="H11" s="9">
        <f>$Q$3*H10+$Q$3*Test_Seasonality!H14</f>
        <v>54.810381098616574</v>
      </c>
      <c r="I11" s="9">
        <f>$Q$3*I10+$Q$3*Test_Seasonality!I14</f>
        <v>57.759829327434403</v>
      </c>
      <c r="J11" s="9">
        <f>$Q$3*J10+$Q$3*Test_Seasonality!J14</f>
        <v>54.84373490018163</v>
      </c>
      <c r="K11" s="9">
        <f>$Q$3*K10+$Q$3*Test_Seasonality!K14</f>
        <v>56.922154724354996</v>
      </c>
      <c r="L11" s="9">
        <f>$Q$3*L10+$Q$3*Test_Seasonality!L14</f>
        <v>54.410392376643614</v>
      </c>
      <c r="M11" s="9">
        <f>$Q$3*M10+$Q$3*Test_Seasonality!M14</f>
        <v>53.073672303745226</v>
      </c>
      <c r="N11" s="9">
        <f>$Q$3*N10+$Q$3*Test_Seasonality!N14</f>
        <v>50.714113289209365</v>
      </c>
      <c r="P11" s="9">
        <f t="shared" si="19"/>
        <v>55.016317881180427</v>
      </c>
      <c r="Q11" s="9">
        <f t="shared" si="17"/>
        <v>5.7456098818235786</v>
      </c>
      <c r="S11" s="134" t="s">
        <v>63</v>
      </c>
      <c r="T11" s="9">
        <f t="shared" si="1"/>
        <v>56.961340141452666</v>
      </c>
      <c r="U11" s="9">
        <f t="shared" si="2"/>
        <v>56.467683144154066</v>
      </c>
      <c r="V11" s="9">
        <f t="shared" si="3"/>
        <v>57.348649497844448</v>
      </c>
      <c r="W11" s="9">
        <f t="shared" si="4"/>
        <v>58.914013703774614</v>
      </c>
      <c r="X11" s="9">
        <f t="shared" si="5"/>
        <v>55.694377823595332</v>
      </c>
      <c r="Y11" s="9">
        <f t="shared" si="6"/>
        <v>53.69691005038981</v>
      </c>
      <c r="Z11" s="9">
        <f t="shared" si="7"/>
        <v>56.916942908976758</v>
      </c>
      <c r="AA11" s="9">
        <f t="shared" si="8"/>
        <v>55.429971821262583</v>
      </c>
      <c r="AB11" s="9">
        <f t="shared" si="9"/>
        <v>57.019753914428563</v>
      </c>
      <c r="AC11" s="9">
        <f t="shared" si="10"/>
        <v>56.948774340372452</v>
      </c>
      <c r="AD11" s="9">
        <f t="shared" si="11"/>
        <v>56.540468733339935</v>
      </c>
      <c r="AE11" s="9">
        <f t="shared" si="12"/>
        <v>55.441905617724359</v>
      </c>
      <c r="AJ11" s="153" t="s">
        <v>9</v>
      </c>
      <c r="AK11" s="145">
        <f>Test_Seasonality!J17</f>
        <v>53.7</v>
      </c>
      <c r="AL11" s="145">
        <f t="shared" ref="AL11:AM11" si="22">$AM$2*AK11+(1-$AM$2)*AL10</f>
        <v>53.401776160686374</v>
      </c>
      <c r="AM11" s="145">
        <f t="shared" si="22"/>
        <v>52.649002417914474</v>
      </c>
      <c r="AN11" s="145">
        <f t="shared" si="14"/>
        <v>0.75579087200144701</v>
      </c>
      <c r="AO11" s="145">
        <f t="shared" si="15"/>
        <v>54.154549903458275</v>
      </c>
      <c r="AP11" s="145">
        <f t="shared" si="16"/>
        <v>54.910340775459723</v>
      </c>
    </row>
    <row r="12" spans="2:42" x14ac:dyDescent="0.2">
      <c r="B12" s="134" t="s">
        <v>64</v>
      </c>
      <c r="C12" s="9">
        <f>$Q$3*C11+$Q$3*Test_Seasonality!C15</f>
        <v>51.694615657796689</v>
      </c>
      <c r="D12" s="9">
        <f>$Q$3*D11+$Q$3*Test_Seasonality!D15</f>
        <v>53.123784840566678</v>
      </c>
      <c r="E12" s="9">
        <f>$Q$3*E11+$Q$3*Test_Seasonality!E15</f>
        <v>51.608529269304128</v>
      </c>
      <c r="F12" s="9">
        <f>$Q$3*F11+$Q$3*Test_Seasonality!F15</f>
        <v>55.41736235074201</v>
      </c>
      <c r="G12" s="9">
        <f>$Q$3*G11+$Q$3*Test_Seasonality!G15</f>
        <v>49.146952132439552</v>
      </c>
      <c r="H12" s="9">
        <f>$Q$3*H11+$Q$3*Test_Seasonality!H15</f>
        <v>48.951526178888741</v>
      </c>
      <c r="I12" s="9">
        <f>$Q$3*I11+$Q$3*Test_Seasonality!I15</f>
        <v>50.659499486076498</v>
      </c>
      <c r="J12" s="9">
        <f>$Q$3*J11+$Q$3*Test_Seasonality!J15</f>
        <v>48.583189220902071</v>
      </c>
      <c r="K12" s="9">
        <f>$Q$3*K11+$Q$3*Test_Seasonality!K15</f>
        <v>51.497063229775549</v>
      </c>
      <c r="L12" s="9">
        <f>$Q$3*L11+$Q$3*Test_Seasonality!L15</f>
        <v>51.308616895720647</v>
      </c>
      <c r="M12" s="9">
        <f>$Q$3*M11+$Q$3*Test_Seasonality!M15</f>
        <v>52.739737490768455</v>
      </c>
      <c r="N12" s="9">
        <f>$Q$3*N11+$Q$3*Test_Seasonality!N15</f>
        <v>52.471304026300231</v>
      </c>
      <c r="P12" s="9">
        <f t="shared" si="19"/>
        <v>50.593143869570206</v>
      </c>
      <c r="Q12" s="9">
        <f t="shared" si="17"/>
        <v>1.8768464065807806</v>
      </c>
      <c r="S12" s="134" t="s">
        <v>65</v>
      </c>
      <c r="T12" s="9">
        <f t="shared" si="1"/>
        <v>55.077703994639499</v>
      </c>
      <c r="U12" s="9">
        <f t="shared" si="2"/>
        <v>55.551915121454947</v>
      </c>
      <c r="V12" s="9">
        <f t="shared" si="3"/>
        <v>55.230393917067616</v>
      </c>
      <c r="W12" s="9">
        <f t="shared" si="4"/>
        <v>57.954574522034477</v>
      </c>
      <c r="X12" s="9">
        <f t="shared" si="5"/>
        <v>53.144070154714086</v>
      </c>
      <c r="Y12" s="9">
        <f t="shared" si="6"/>
        <v>52.032492324621302</v>
      </c>
      <c r="Z12" s="9">
        <f t="shared" si="7"/>
        <v>54.530498650052493</v>
      </c>
      <c r="AA12" s="9">
        <f t="shared" si="8"/>
        <v>52.724271332273261</v>
      </c>
      <c r="AB12" s="9">
        <f t="shared" si="9"/>
        <v>55.007174610397065</v>
      </c>
      <c r="AC12" s="9">
        <f t="shared" si="10"/>
        <v>54.875671617575591</v>
      </c>
      <c r="AD12" s="9">
        <f t="shared" si="11"/>
        <v>55.394136535000541</v>
      </c>
      <c r="AE12" s="9">
        <f t="shared" si="12"/>
        <v>54.701205968556067</v>
      </c>
      <c r="AJ12" s="153" t="s">
        <v>10</v>
      </c>
      <c r="AK12" s="145">
        <f>Test_Seasonality!K17</f>
        <v>55.44</v>
      </c>
      <c r="AL12" s="145">
        <f t="shared" ref="AL12:AM12" si="23">$AM$2*AK12+(1-$AM$2)*AL11</f>
        <v>54.422926304182496</v>
      </c>
      <c r="AM12" s="145">
        <f t="shared" si="23"/>
        <v>53.537738284934754</v>
      </c>
      <c r="AN12" s="145">
        <f t="shared" si="14"/>
        <v>0.8887358670202784</v>
      </c>
      <c r="AO12" s="145">
        <f t="shared" si="15"/>
        <v>55.308114323430239</v>
      </c>
      <c r="AP12" s="145">
        <f t="shared" si="16"/>
        <v>56.196850190450519</v>
      </c>
    </row>
    <row r="13" spans="2:42" x14ac:dyDescent="0.2">
      <c r="B13" s="134" t="s">
        <v>66</v>
      </c>
      <c r="C13" s="9">
        <f>$Q$3*C12+$Q$3*Test_Seasonality!C16</f>
        <v>50.555476676937147</v>
      </c>
      <c r="D13" s="9">
        <f>$Q$3*D12+$Q$3*Test_Seasonality!D16</f>
        <v>49.130666535683247</v>
      </c>
      <c r="E13" s="9">
        <f>$Q$3*E12+$Q$3*Test_Seasonality!E16</f>
        <v>40.105182486610268</v>
      </c>
      <c r="F13" s="9">
        <f>$Q$3*F12+$Q$3*Test_Seasonality!F16</f>
        <v>42.623883975591127</v>
      </c>
      <c r="G13" s="9">
        <f>$Q$3*G12+$Q$3*Test_Seasonality!G16</f>
        <v>41.265184035933608</v>
      </c>
      <c r="H13" s="9">
        <f>$Q$3*H12+$Q$3*Test_Seasonality!H16</f>
        <v>42.742581620078703</v>
      </c>
      <c r="I13" s="9">
        <f>$Q$3*I12+$Q$3*Test_Seasonality!I16</f>
        <v>42.974728289492177</v>
      </c>
      <c r="J13" s="9">
        <f>$Q$3*J12+$Q$3*Test_Seasonality!J16</f>
        <v>43.179358616075262</v>
      </c>
      <c r="K13" s="9">
        <f>$Q$3*K12+$Q$3*Test_Seasonality!K16</f>
        <v>41.807623351173227</v>
      </c>
      <c r="L13" s="9">
        <f>$Q$3*L12+$Q$3*Test_Seasonality!L16</f>
        <v>41.139302904440797</v>
      </c>
      <c r="M13" s="9">
        <f>$Q$3*M12+$Q$3*Test_Seasonality!M16</f>
        <v>48.515265934070527</v>
      </c>
      <c r="N13" s="9">
        <f>$Q$3*N12+$Q$3*Test_Seasonality!N16</f>
        <v>48.445094010931584</v>
      </c>
      <c r="P13" s="9">
        <f t="shared" si="19"/>
        <v>46.204585963600692</v>
      </c>
      <c r="Q13" s="9">
        <f t="shared" si="17"/>
        <v>-0.69622802461011291</v>
      </c>
      <c r="S13" s="134" t="s">
        <v>67</v>
      </c>
      <c r="T13" s="9">
        <f t="shared" si="1"/>
        <v>53.5454592824222</v>
      </c>
      <c r="U13" s="9">
        <f t="shared" si="2"/>
        <v>53.063600642003351</v>
      </c>
      <c r="V13" s="9">
        <f t="shared" si="3"/>
        <v>48.325603679024319</v>
      </c>
      <c r="W13" s="9">
        <f t="shared" si="4"/>
        <v>50.983220612446416</v>
      </c>
      <c r="X13" s="9">
        <f t="shared" si="5"/>
        <v>47.856050949239318</v>
      </c>
      <c r="Y13" s="9">
        <f t="shared" si="6"/>
        <v>48.041484982568434</v>
      </c>
      <c r="Z13" s="9">
        <f t="shared" si="7"/>
        <v>49.425399535655195</v>
      </c>
      <c r="AA13" s="9">
        <f t="shared" si="8"/>
        <v>48.613550020817868</v>
      </c>
      <c r="AB13" s="9">
        <f t="shared" si="9"/>
        <v>49.075421086719984</v>
      </c>
      <c r="AC13" s="9">
        <f t="shared" si="10"/>
        <v>48.669990585210108</v>
      </c>
      <c r="AD13" s="9">
        <f t="shared" si="11"/>
        <v>52.671676111572125</v>
      </c>
      <c r="AE13" s="9">
        <f t="shared" si="12"/>
        <v>52.284859459602295</v>
      </c>
      <c r="AJ13" s="153" t="s">
        <v>11</v>
      </c>
      <c r="AK13" s="145">
        <f>Test_Seasonality!L17</f>
        <v>57.9</v>
      </c>
      <c r="AL13" s="145">
        <f t="shared" ref="AL13:AM13" si="24">$AM$2*AK13+(1-$AM$2)*AL12</f>
        <v>56.164940225787063</v>
      </c>
      <c r="AM13" s="145">
        <f t="shared" si="24"/>
        <v>54.853966457301766</v>
      </c>
      <c r="AN13" s="145">
        <f t="shared" si="14"/>
        <v>1.316228172367002</v>
      </c>
      <c r="AO13" s="145">
        <f t="shared" si="15"/>
        <v>57.475913994272361</v>
      </c>
      <c r="AP13" s="145">
        <f t="shared" si="16"/>
        <v>58.792142166639366</v>
      </c>
    </row>
    <row r="14" spans="2:42" x14ac:dyDescent="0.2">
      <c r="B14" s="134" t="s">
        <v>68</v>
      </c>
      <c r="C14" s="9">
        <f>$Q$3*C13+$Q$3*Test_Seasonality!C17</f>
        <v>45.791053127539442</v>
      </c>
      <c r="D14" s="9">
        <f>$Q$3*D13+$Q$3*Test_Seasonality!D17</f>
        <v>49.894504866937837</v>
      </c>
      <c r="E14" s="9">
        <f>$Q$3*E13+$Q$3*Test_Seasonality!E17</f>
        <v>46.627289002462746</v>
      </c>
      <c r="F14" s="9">
        <f>$Q$3*F13+$Q$3*Test_Seasonality!F17</f>
        <v>48.669437787227146</v>
      </c>
      <c r="G14" s="9">
        <f>$Q$3*G13+$Q$3*Test_Seasonality!G17</f>
        <v>49.227686787814747</v>
      </c>
      <c r="H14" s="9">
        <f>$Q$3*H13+$Q$3*Test_Seasonality!H17</f>
        <v>48.466017623217894</v>
      </c>
      <c r="I14" s="9">
        <f>$Q$3*I13+$Q$3*Test_Seasonality!I17</f>
        <v>47.863894769943585</v>
      </c>
      <c r="J14" s="9">
        <f>$Q$3*J13+$Q$3*Test_Seasonality!J17</f>
        <v>49.108146882488555</v>
      </c>
      <c r="K14" s="9">
        <f>$Q$3*K13+$Q$3*Test_Seasonality!K17</f>
        <v>49.294820276709714</v>
      </c>
      <c r="L14" s="9">
        <f>$Q$3*L13+$Q$3*Test_Seasonality!L17</f>
        <v>50.20302264226104</v>
      </c>
      <c r="M14" s="9">
        <f>$Q$3*M13+$Q$3*Test_Seasonality!M17</f>
        <v>52.512440301980348</v>
      </c>
      <c r="N14" s="9">
        <f>$Q$3*N13+$Q$3*Test_Seasonality!N17</f>
        <v>55.376338154141223</v>
      </c>
      <c r="P14" s="9">
        <f t="shared" si="19"/>
        <v>56.165447272026171</v>
      </c>
      <c r="Q14" s="9">
        <f t="shared" si="17"/>
        <v>2.4699328113304486</v>
      </c>
      <c r="S14" s="134" t="s">
        <v>69</v>
      </c>
      <c r="T14" s="137">
        <f t="shared" si="1"/>
        <v>50.35367814060956</v>
      </c>
      <c r="U14" s="137">
        <f t="shared" si="2"/>
        <v>52.189463682482284</v>
      </c>
      <c r="V14" s="137">
        <f t="shared" si="3"/>
        <v>48.131621300245797</v>
      </c>
      <c r="W14" s="137">
        <f t="shared" si="4"/>
        <v>50.513932542794535</v>
      </c>
      <c r="X14" s="137">
        <f t="shared" si="5"/>
        <v>49.211746658912709</v>
      </c>
      <c r="Y14" s="137">
        <f t="shared" si="6"/>
        <v>48.919653070873089</v>
      </c>
      <c r="Z14" s="137">
        <f t="shared" si="7"/>
        <v>49.31594328350802</v>
      </c>
      <c r="AA14" s="137">
        <f t="shared" si="8"/>
        <v>49.535128160286028</v>
      </c>
      <c r="AB14" s="137">
        <f t="shared" si="9"/>
        <v>49.863875347122516</v>
      </c>
      <c r="AC14" s="137">
        <f t="shared" si="10"/>
        <v>50.118730405005124</v>
      </c>
      <c r="AD14" s="137">
        <f t="shared" si="11"/>
        <v>53.31782861002975</v>
      </c>
      <c r="AE14" s="137">
        <f t="shared" si="12"/>
        <v>54.573461070406594</v>
      </c>
      <c r="AJ14" s="153" t="s">
        <v>12</v>
      </c>
      <c r="AK14" s="145">
        <f>Test_Seasonality!M17</f>
        <v>55.08</v>
      </c>
      <c r="AL14" s="145">
        <f t="shared" ref="AL14:AM14" si="25">$AM$2*AK14+(1-$AM$2)*AL13</f>
        <v>55.621385172667743</v>
      </c>
      <c r="AM14" s="145">
        <f t="shared" si="25"/>
        <v>55.238443233700124</v>
      </c>
      <c r="AN14" s="145">
        <f t="shared" si="14"/>
        <v>0.38447677639835093</v>
      </c>
      <c r="AO14" s="145">
        <f t="shared" si="15"/>
        <v>56.004327111635362</v>
      </c>
      <c r="AP14" s="145">
        <f t="shared" si="16"/>
        <v>56.388803888033713</v>
      </c>
    </row>
    <row r="15" spans="2:42" x14ac:dyDescent="0.2">
      <c r="B15" s="134" t="s">
        <v>70</v>
      </c>
      <c r="C15" s="9">
        <f>$Q$3*C14+$Q$3*Test_Seasonality!C18</f>
        <v>55.141882673267617</v>
      </c>
      <c r="D15" s="9">
        <f>$Q$3*D14+$Q$3*Test_Seasonality!D18</f>
        <v>51.908746958914833</v>
      </c>
      <c r="E15" s="9">
        <f>$Q$3*E14+$Q$3*Test_Seasonality!E18</f>
        <v>49.961410243924426</v>
      </c>
      <c r="F15" s="9">
        <f>$Q$3*F14+$Q$3*Test_Seasonality!F18</f>
        <v>49.863343735343932</v>
      </c>
      <c r="G15" s="9">
        <f>$Q$3*G14+$Q$3*Test_Seasonality!G18</f>
        <v>51.865142584286161</v>
      </c>
      <c r="H15" s="9">
        <f>$Q$3*H14+$Q$3*Test_Seasonality!H18</f>
        <v>47.568902143725111</v>
      </c>
      <c r="I15" s="9">
        <f>$Q$3*I14+$Q$3*Test_Seasonality!I18</f>
        <v>47.587971459836574</v>
      </c>
      <c r="J15" s="9">
        <f>$Q$3*J14+$Q$3*Test_Seasonality!J18</f>
        <v>48.45311067322092</v>
      </c>
      <c r="K15" s="9">
        <f>$Q$3*K14+$Q$3*Test_Seasonality!K18</f>
        <v>47.087121363504394</v>
      </c>
      <c r="L15" s="9">
        <f>$Q$3*L14+$Q$3*Test_Seasonality!L18</f>
        <v>49.532171006947188</v>
      </c>
      <c r="M15" s="9">
        <f>$Q$3*M14+$Q$3*Test_Seasonality!M18</f>
        <v>53.692139289106287</v>
      </c>
      <c r="N15" s="9">
        <f>$Q$3*N14+$Q$3*Test_Seasonality!N18</f>
        <v>55.062750069851575</v>
      </c>
      <c r="P15" s="9">
        <f t="shared" si="19"/>
        <v>65.062422564393387</v>
      </c>
      <c r="Q15" s="9">
        <f t="shared" si="17"/>
        <v>4.1639005071878437</v>
      </c>
      <c r="S15" s="134" t="s">
        <v>71</v>
      </c>
      <c r="T15" s="144">
        <f t="shared" si="1"/>
        <v>53.475699776554336</v>
      </c>
      <c r="U15" s="144">
        <f t="shared" si="2"/>
        <v>52.767382974124203</v>
      </c>
      <c r="V15" s="144">
        <f t="shared" si="3"/>
        <v>49.723357689739885</v>
      </c>
      <c r="W15" s="144">
        <f t="shared" si="4"/>
        <v>50.881241345388389</v>
      </c>
      <c r="X15" s="144">
        <f t="shared" si="5"/>
        <v>51.235875157377507</v>
      </c>
      <c r="Y15" s="144">
        <f t="shared" si="6"/>
        <v>48.910048638279832</v>
      </c>
      <c r="Z15" s="144">
        <f t="shared" si="7"/>
        <v>49.120594383401375</v>
      </c>
      <c r="AA15" s="144">
        <f t="shared" si="8"/>
        <v>49.670238264704679</v>
      </c>
      <c r="AB15" s="144">
        <f t="shared" si="9"/>
        <v>49.14446023261678</v>
      </c>
      <c r="AC15" s="144">
        <f t="shared" si="10"/>
        <v>50.513041925718625</v>
      </c>
      <c r="AD15" s="144">
        <f t="shared" si="11"/>
        <v>54.243352728072054</v>
      </c>
      <c r="AE15" s="144">
        <f t="shared" si="12"/>
        <v>55.574595426996865</v>
      </c>
      <c r="AJ15" s="153" t="s">
        <v>13</v>
      </c>
      <c r="AK15" s="145">
        <f>Test_Seasonality!N17</f>
        <v>60.8</v>
      </c>
      <c r="AL15" s="145">
        <f t="shared" ref="AL15:AM15" si="26">$AM$2*AK15+(1-$AM$2)*AL14</f>
        <v>58.215871201161207</v>
      </c>
      <c r="AM15" s="145">
        <f t="shared" si="26"/>
        <v>56.730134645398124</v>
      </c>
      <c r="AN15" s="145">
        <f t="shared" si="14"/>
        <v>1.4916914116980051</v>
      </c>
      <c r="AO15" s="145">
        <f t="shared" si="15"/>
        <v>59.70160775692429</v>
      </c>
      <c r="AP15" s="145">
        <f t="shared" si="16"/>
        <v>61.193299168622296</v>
      </c>
    </row>
    <row r="16" spans="2:42" x14ac:dyDescent="0.2">
      <c r="P16" s="9">
        <f t="shared" si="19"/>
        <v>48.311527320953878</v>
      </c>
      <c r="Q16" s="9">
        <f t="shared" si="17"/>
        <v>-3.4777681564502552</v>
      </c>
    </row>
    <row r="17" spans="2:31" x14ac:dyDescent="0.2">
      <c r="P17" s="9">
        <f t="shared" si="19"/>
        <v>47.565494071452093</v>
      </c>
      <c r="Q17" s="9">
        <f t="shared" si="17"/>
        <v>-3.0736608856628953</v>
      </c>
    </row>
    <row r="18" spans="2:31" x14ac:dyDescent="0.2">
      <c r="P18" s="9">
        <f t="shared" si="19"/>
        <v>41.228428114469324</v>
      </c>
      <c r="Q18" s="9">
        <f t="shared" si="17"/>
        <v>-4.6903155934399576</v>
      </c>
      <c r="T18" s="159" t="s">
        <v>2</v>
      </c>
      <c r="U18" s="159" t="s">
        <v>3</v>
      </c>
      <c r="V18" s="159" t="s">
        <v>4</v>
      </c>
      <c r="W18" s="159" t="s">
        <v>5</v>
      </c>
      <c r="X18" s="159" t="s">
        <v>6</v>
      </c>
      <c r="Y18" s="159" t="s">
        <v>7</v>
      </c>
      <c r="Z18" s="159" t="s">
        <v>8</v>
      </c>
      <c r="AA18" s="159" t="s">
        <v>9</v>
      </c>
      <c r="AB18" s="159" t="s">
        <v>10</v>
      </c>
      <c r="AC18" s="159" t="s">
        <v>11</v>
      </c>
      <c r="AD18" s="159" t="s">
        <v>12</v>
      </c>
      <c r="AE18" s="159" t="s">
        <v>13</v>
      </c>
    </row>
    <row r="19" spans="2:31" x14ac:dyDescent="0.2">
      <c r="C19" s="158" t="s">
        <v>2</v>
      </c>
      <c r="D19" s="158" t="s">
        <v>3</v>
      </c>
      <c r="E19" s="158" t="s">
        <v>4</v>
      </c>
      <c r="F19" s="158" t="s">
        <v>5</v>
      </c>
      <c r="G19" s="158" t="s">
        <v>6</v>
      </c>
      <c r="H19" s="158" t="s">
        <v>7</v>
      </c>
      <c r="I19" s="158" t="s">
        <v>8</v>
      </c>
      <c r="J19" s="158" t="s">
        <v>9</v>
      </c>
      <c r="K19" s="158" t="s">
        <v>10</v>
      </c>
      <c r="L19" s="158" t="s">
        <v>11</v>
      </c>
      <c r="M19" s="158" t="s">
        <v>12</v>
      </c>
      <c r="N19" s="158" t="s">
        <v>13</v>
      </c>
      <c r="S19" s="141" t="s">
        <v>81</v>
      </c>
      <c r="T19" s="146">
        <f>C30+C46</f>
        <v>36.538112521029369</v>
      </c>
      <c r="U19" s="146">
        <f>D30+D46</f>
        <v>45.240360037198542</v>
      </c>
      <c r="V19" s="146">
        <f t="shared" ref="V19:AE19" si="27">E30+E46</f>
        <v>43.57652384776177</v>
      </c>
      <c r="W19" s="146">
        <f t="shared" si="27"/>
        <v>44.928827859083995</v>
      </c>
      <c r="X19" s="146">
        <f t="shared" si="27"/>
        <v>49.26001314940882</v>
      </c>
      <c r="Y19" s="146">
        <f t="shared" si="27"/>
        <v>47.546051191144898</v>
      </c>
      <c r="Z19" s="146">
        <f t="shared" si="27"/>
        <v>44.919160408628571</v>
      </c>
      <c r="AA19" s="146">
        <f t="shared" si="27"/>
        <v>48.242234739317851</v>
      </c>
      <c r="AB19" s="146">
        <f t="shared" si="27"/>
        <v>48.140784441356232</v>
      </c>
      <c r="AC19" s="146">
        <f t="shared" si="27"/>
        <v>50.373966137000274</v>
      </c>
      <c r="AD19" s="146">
        <f t="shared" si="27"/>
        <v>50.879123919807562</v>
      </c>
      <c r="AE19" s="146">
        <f t="shared" si="27"/>
        <v>57.004561808034204</v>
      </c>
    </row>
    <row r="20" spans="2:31" x14ac:dyDescent="0.2">
      <c r="B20" s="143" t="s">
        <v>82</v>
      </c>
      <c r="C20" s="9">
        <f>2*C4-T4</f>
        <v>32.369999999999997</v>
      </c>
      <c r="D20" s="9">
        <f t="shared" ref="D20:N31" si="28">2*D4-U4</f>
        <v>36.6</v>
      </c>
      <c r="E20" s="9">
        <f t="shared" si="28"/>
        <v>35.58</v>
      </c>
      <c r="F20" s="9">
        <f t="shared" si="28"/>
        <v>30.35</v>
      </c>
      <c r="G20" s="9">
        <f t="shared" si="28"/>
        <v>25.73</v>
      </c>
      <c r="H20" s="9">
        <f t="shared" si="28"/>
        <v>30.33</v>
      </c>
      <c r="I20" s="9">
        <f t="shared" si="28"/>
        <v>30.17</v>
      </c>
      <c r="J20" s="9">
        <f t="shared" si="28"/>
        <v>34.6</v>
      </c>
      <c r="K20" s="9">
        <f t="shared" si="28"/>
        <v>36.979999999999997</v>
      </c>
      <c r="L20" s="9">
        <f t="shared" si="28"/>
        <v>38.81</v>
      </c>
      <c r="M20" s="9">
        <f t="shared" si="28"/>
        <v>42.94</v>
      </c>
      <c r="N20" s="9">
        <f t="shared" si="28"/>
        <v>42.6</v>
      </c>
      <c r="S20" s="160">
        <v>2022</v>
      </c>
      <c r="T20" s="10">
        <f>EXP(Test_Seasonality!C3)</f>
        <v>62.991512809070571</v>
      </c>
      <c r="U20" s="10">
        <f>EXP(Test_Seasonality!D3)</f>
        <v>52.509809512456187</v>
      </c>
      <c r="V20" s="10">
        <f>EXP(Test_Seasonality!E3)</f>
        <v>51.935366834831441</v>
      </c>
      <c r="W20" s="10">
        <f>EXP(Test_Seasonality!F3)</f>
        <v>49.699754825406366</v>
      </c>
      <c r="X20" s="10">
        <f>EXP(Test_Seasonality!G3)</f>
        <v>53.090605941098566</v>
      </c>
      <c r="Y20" s="10">
        <f>EXP(Test_Seasonality!H3)</f>
        <v>45.376756382947249</v>
      </c>
      <c r="Z20" s="10">
        <f>EXP(Test_Seasonality!I3)</f>
        <v>46.016498719574216</v>
      </c>
      <c r="AA20" s="10">
        <f>EXP(Test_Seasonality!J3)</f>
        <v>46.478972220334327</v>
      </c>
      <c r="AB20" s="10">
        <f>EXP(Test_Seasonality!K3)</f>
        <v>43.597508315723488</v>
      </c>
      <c r="AC20" s="10">
        <f>EXP(Test_Seasonality!L3)</f>
        <v>47.512840460810942</v>
      </c>
      <c r="AD20" s="10">
        <f>EXP(Test_Seasonality!M3)</f>
        <v>53.410107121784264</v>
      </c>
      <c r="AE20" s="10">
        <f>EXP(Test_Seasonality!N3)</f>
        <v>53.250116905735624</v>
      </c>
    </row>
    <row r="21" spans="2:31" x14ac:dyDescent="0.2">
      <c r="B21" s="143" t="s">
        <v>83</v>
      </c>
      <c r="C21" s="9">
        <f t="shared" ref="C21:C31" si="29">2*C5-T5</f>
        <v>32.590270728599997</v>
      </c>
      <c r="D21" s="9">
        <f t="shared" si="28"/>
        <v>36.849054948000003</v>
      </c>
      <c r="E21" s="9">
        <f t="shared" si="28"/>
        <v>35.822114072399998</v>
      </c>
      <c r="F21" s="9">
        <f t="shared" si="28"/>
        <v>30.556525073000003</v>
      </c>
      <c r="G21" s="9">
        <f t="shared" si="28"/>
        <v>25.905086989400004</v>
      </c>
      <c r="H21" s="9">
        <f t="shared" si="28"/>
        <v>30.536388977399998</v>
      </c>
      <c r="I21" s="9">
        <f t="shared" si="28"/>
        <v>30.375300212600003</v>
      </c>
      <c r="J21" s="9">
        <f t="shared" si="28"/>
        <v>34.835445387999997</v>
      </c>
      <c r="K21" s="9">
        <f t="shared" si="28"/>
        <v>37.231640764399998</v>
      </c>
      <c r="L21" s="9">
        <f t="shared" si="28"/>
        <v>39.074093511800001</v>
      </c>
      <c r="M21" s="9">
        <f t="shared" si="28"/>
        <v>43.232197253199999</v>
      </c>
      <c r="N21" s="9">
        <f t="shared" si="28"/>
        <v>42.889883628</v>
      </c>
      <c r="S21" s="161" t="s">
        <v>72</v>
      </c>
      <c r="T21" s="146">
        <v>60.796660000000003</v>
      </c>
      <c r="U21" s="146">
        <v>61.302819999999997</v>
      </c>
      <c r="V21" s="146">
        <v>56.917319999999997</v>
      </c>
      <c r="W21" s="146">
        <v>57.68235</v>
      </c>
      <c r="X21" s="146">
        <v>56.973739999999999</v>
      </c>
      <c r="Y21" s="146">
        <v>55.396619999999999</v>
      </c>
      <c r="Z21" s="146">
        <v>55.86018</v>
      </c>
      <c r="AA21" s="146">
        <v>56.95194</v>
      </c>
      <c r="AB21" s="146">
        <v>59.218510000000002</v>
      </c>
      <c r="AC21" s="146">
        <v>61.477449999999997</v>
      </c>
      <c r="AD21" s="146">
        <v>64.712389999999999</v>
      </c>
      <c r="AE21" s="146">
        <v>65.103970000000004</v>
      </c>
    </row>
    <row r="22" spans="2:31" x14ac:dyDescent="0.2">
      <c r="B22" s="143" t="s">
        <v>84</v>
      </c>
      <c r="C22" s="9">
        <f t="shared" si="29"/>
        <v>43.061982999454685</v>
      </c>
      <c r="D22" s="9">
        <f t="shared" si="28"/>
        <v>41.765062337282401</v>
      </c>
      <c r="E22" s="9">
        <f t="shared" si="28"/>
        <v>39.194241050799121</v>
      </c>
      <c r="F22" s="9">
        <f t="shared" si="28"/>
        <v>39.605549849407403</v>
      </c>
      <c r="G22" s="9">
        <f t="shared" si="28"/>
        <v>40.736910012653723</v>
      </c>
      <c r="H22" s="9">
        <f t="shared" si="28"/>
        <v>39.343222919688117</v>
      </c>
      <c r="I22" s="9">
        <f t="shared" si="28"/>
        <v>44.343882900133877</v>
      </c>
      <c r="J22" s="9">
        <f t="shared" si="28"/>
        <v>44.519815902354395</v>
      </c>
      <c r="K22" s="9">
        <f t="shared" si="28"/>
        <v>47.08228905354872</v>
      </c>
      <c r="L22" s="9">
        <f t="shared" si="28"/>
        <v>50.975635120562842</v>
      </c>
      <c r="M22" s="9">
        <f t="shared" si="28"/>
        <v>52.544905002594149</v>
      </c>
      <c r="N22" s="9">
        <f t="shared" si="28"/>
        <v>53.557389977066407</v>
      </c>
      <c r="S22" s="162" t="s">
        <v>85</v>
      </c>
      <c r="T22" s="9">
        <f t="shared" ref="T22:AE22" si="30">T20-T19</f>
        <v>26.453400288041202</v>
      </c>
      <c r="U22" s="9">
        <f t="shared" si="30"/>
        <v>7.2694494752576446</v>
      </c>
      <c r="V22" s="9">
        <f t="shared" si="30"/>
        <v>8.3588429870696714</v>
      </c>
      <c r="W22" s="9">
        <f t="shared" si="30"/>
        <v>4.7709269663223708</v>
      </c>
      <c r="X22" s="9">
        <f t="shared" si="30"/>
        <v>3.830592791689746</v>
      </c>
      <c r="Y22" s="9">
        <f t="shared" si="30"/>
        <v>-2.1692948081976482</v>
      </c>
      <c r="Z22" s="9">
        <f t="shared" si="30"/>
        <v>1.0973383109456449</v>
      </c>
      <c r="AA22" s="9">
        <f t="shared" si="30"/>
        <v>-1.7632625189835238</v>
      </c>
      <c r="AB22" s="9">
        <f t="shared" si="30"/>
        <v>-4.5432761256327439</v>
      </c>
      <c r="AC22" s="9">
        <f t="shared" si="30"/>
        <v>-2.8611256761893316</v>
      </c>
      <c r="AD22" s="9">
        <f t="shared" si="30"/>
        <v>2.5309832019767029</v>
      </c>
      <c r="AE22" s="9">
        <f t="shared" si="30"/>
        <v>-3.7544449022985802</v>
      </c>
    </row>
    <row r="23" spans="2:31" x14ac:dyDescent="0.2">
      <c r="B23" s="143" t="s">
        <v>86</v>
      </c>
      <c r="C23" s="9">
        <f t="shared" si="29"/>
        <v>55.016317881180427</v>
      </c>
      <c r="D23" s="9">
        <f t="shared" si="28"/>
        <v>55.756976820889619</v>
      </c>
      <c r="E23" s="9">
        <f t="shared" si="28"/>
        <v>52.330515688549596</v>
      </c>
      <c r="F23" s="9">
        <f t="shared" si="28"/>
        <v>51.511056414616789</v>
      </c>
      <c r="G23" s="9">
        <f t="shared" si="28"/>
        <v>50.227466133759904</v>
      </c>
      <c r="H23" s="9">
        <f t="shared" si="28"/>
        <v>47.966192247406546</v>
      </c>
      <c r="I23" s="9">
        <f t="shared" si="28"/>
        <v>49.624436447895661</v>
      </c>
      <c r="J23" s="9">
        <f t="shared" si="28"/>
        <v>50.726884344074762</v>
      </c>
      <c r="K23" s="9">
        <f t="shared" si="28"/>
        <v>52.220570054496534</v>
      </c>
      <c r="L23" s="9">
        <f t="shared" si="28"/>
        <v>51.559837480253094</v>
      </c>
      <c r="M23" s="9">
        <f t="shared" si="28"/>
        <v>52.792213255771657</v>
      </c>
      <c r="N23" s="9">
        <f t="shared" si="28"/>
        <v>51.450992720357185</v>
      </c>
    </row>
    <row r="24" spans="2:31" x14ac:dyDescent="0.2">
      <c r="B24" s="143" t="s">
        <v>87</v>
      </c>
      <c r="C24" s="9">
        <f t="shared" si="29"/>
        <v>50.593143869570206</v>
      </c>
      <c r="D24" s="9">
        <f t="shared" si="28"/>
        <v>54.650234080952167</v>
      </c>
      <c r="E24" s="9">
        <f t="shared" si="28"/>
        <v>57.023956575784851</v>
      </c>
      <c r="F24" s="9">
        <f t="shared" si="28"/>
        <v>56.955236153997411</v>
      </c>
      <c r="G24" s="9">
        <f t="shared" si="28"/>
        <v>55.628457831169356</v>
      </c>
      <c r="H24" s="9">
        <f t="shared" si="28"/>
        <v>54.044166321209673</v>
      </c>
      <c r="I24" s="9">
        <f t="shared" si="28"/>
        <v>58.366300802467357</v>
      </c>
      <c r="J24" s="9">
        <f t="shared" si="28"/>
        <v>56.184230303273033</v>
      </c>
      <c r="K24" s="9">
        <f t="shared" si="28"/>
        <v>53.558231700610079</v>
      </c>
      <c r="L24" s="9">
        <f t="shared" si="28"/>
        <v>55.23025236561989</v>
      </c>
      <c r="M24" s="9">
        <f t="shared" si="28"/>
        <v>55.990008100307691</v>
      </c>
      <c r="N24" s="9">
        <f t="shared" si="28"/>
        <v>52.572233479452947</v>
      </c>
      <c r="P24" s="163" t="s">
        <v>73</v>
      </c>
      <c r="Q24" s="9">
        <f>SQRT(SUMSQ(T22:AE22)/COUNT(T22:AE22))</f>
        <v>8.7477660978629572</v>
      </c>
    </row>
    <row r="25" spans="2:31" x14ac:dyDescent="0.2">
      <c r="B25" s="143" t="s">
        <v>88</v>
      </c>
      <c r="C25" s="9">
        <f t="shared" si="29"/>
        <v>46.204585963600692</v>
      </c>
      <c r="D25" s="9">
        <f t="shared" si="28"/>
        <v>46.848497184316329</v>
      </c>
      <c r="E25" s="9">
        <f t="shared" si="28"/>
        <v>48.769214854590366</v>
      </c>
      <c r="F25" s="9">
        <f t="shared" si="28"/>
        <v>50.498183875411627</v>
      </c>
      <c r="G25" s="9">
        <f t="shared" si="28"/>
        <v>52.92301366161395</v>
      </c>
      <c r="H25" s="9">
        <f t="shared" si="28"/>
        <v>44.730202221070719</v>
      </c>
      <c r="I25" s="9">
        <f t="shared" si="28"/>
        <v>49.508153408957725</v>
      </c>
      <c r="J25" s="9">
        <f t="shared" si="28"/>
        <v>49.505589084501779</v>
      </c>
      <c r="K25" s="9">
        <f t="shared" si="28"/>
        <v>48.561575278838049</v>
      </c>
      <c r="L25" s="9">
        <f t="shared" si="28"/>
        <v>54.338483266126005</v>
      </c>
      <c r="M25" s="9">
        <f t="shared" si="28"/>
        <v>55.823550319411083</v>
      </c>
      <c r="N25" s="9">
        <f t="shared" si="28"/>
        <v>59.117445039846217</v>
      </c>
    </row>
    <row r="26" spans="2:31" x14ac:dyDescent="0.2">
      <c r="B26" s="143" t="s">
        <v>89</v>
      </c>
      <c r="C26" s="9">
        <f t="shared" si="29"/>
        <v>56.165447272026171</v>
      </c>
      <c r="D26" s="9">
        <f t="shared" si="28"/>
        <v>53.057831641418687</v>
      </c>
      <c r="E26" s="9">
        <f t="shared" si="28"/>
        <v>59.310769791792012</v>
      </c>
      <c r="F26" s="9">
        <f t="shared" si="28"/>
        <v>61.826929857537081</v>
      </c>
      <c r="G26" s="9">
        <f t="shared" si="28"/>
        <v>61.33379295503947</v>
      </c>
      <c r="H26" s="9">
        <f t="shared" si="28"/>
        <v>58.755597407244181</v>
      </c>
      <c r="I26" s="9">
        <f t="shared" si="28"/>
        <v>62.029842635566268</v>
      </c>
      <c r="J26" s="9">
        <f t="shared" si="28"/>
        <v>60.681608206752315</v>
      </c>
      <c r="K26" s="9">
        <f t="shared" si="28"/>
        <v>63.604256784488015</v>
      </c>
      <c r="L26" s="9">
        <f t="shared" si="28"/>
        <v>64.482233790955661</v>
      </c>
      <c r="M26" s="9">
        <f t="shared" si="28"/>
        <v>62.17691135316425</v>
      </c>
      <c r="N26" s="9">
        <f t="shared" si="28"/>
        <v>62.434809601488681</v>
      </c>
    </row>
    <row r="27" spans="2:31" x14ac:dyDescent="0.2">
      <c r="B27" s="143" t="s">
        <v>90</v>
      </c>
      <c r="C27" s="9">
        <f t="shared" si="29"/>
        <v>65.062422564393387</v>
      </c>
      <c r="D27" s="9">
        <f t="shared" si="28"/>
        <v>62.934940018468453</v>
      </c>
      <c r="E27" s="9">
        <f t="shared" si="28"/>
        <v>61.05545493815525</v>
      </c>
      <c r="F27" s="9">
        <f t="shared" si="28"/>
        <v>64.838037394043525</v>
      </c>
      <c r="G27" s="9">
        <f t="shared" si="28"/>
        <v>56.457447516469969</v>
      </c>
      <c r="H27" s="9">
        <f t="shared" si="28"/>
        <v>55.923852146843338</v>
      </c>
      <c r="I27" s="9">
        <f t="shared" si="28"/>
        <v>58.602715745892048</v>
      </c>
      <c r="J27" s="9">
        <f t="shared" si="28"/>
        <v>54.257497979100677</v>
      </c>
      <c r="K27" s="9">
        <f t="shared" si="28"/>
        <v>56.82455553428143</v>
      </c>
      <c r="L27" s="9">
        <f t="shared" si="28"/>
        <v>51.872010412914776</v>
      </c>
      <c r="M27" s="9">
        <f t="shared" si="28"/>
        <v>49.606875874150518</v>
      </c>
      <c r="N27" s="9">
        <f t="shared" si="28"/>
        <v>45.986320960694371</v>
      </c>
    </row>
    <row r="28" spans="2:31" x14ac:dyDescent="0.2">
      <c r="B28" s="143" t="s">
        <v>91</v>
      </c>
      <c r="C28" s="9">
        <f t="shared" si="29"/>
        <v>48.311527320953878</v>
      </c>
      <c r="D28" s="9">
        <f t="shared" si="28"/>
        <v>50.69565455967841</v>
      </c>
      <c r="E28" s="9">
        <f t="shared" si="28"/>
        <v>47.98666462154064</v>
      </c>
      <c r="F28" s="9">
        <f t="shared" si="28"/>
        <v>52.880150179449544</v>
      </c>
      <c r="G28" s="9">
        <f t="shared" si="28"/>
        <v>45.149834110165017</v>
      </c>
      <c r="H28" s="9">
        <f t="shared" si="28"/>
        <v>45.870560033156181</v>
      </c>
      <c r="I28" s="9">
        <f t="shared" si="28"/>
        <v>46.788500322100504</v>
      </c>
      <c r="J28" s="9">
        <f t="shared" si="28"/>
        <v>44.44210710953088</v>
      </c>
      <c r="K28" s="9">
        <f t="shared" si="28"/>
        <v>47.986951849154032</v>
      </c>
      <c r="L28" s="9">
        <f t="shared" si="28"/>
        <v>47.741562173865702</v>
      </c>
      <c r="M28" s="9">
        <f t="shared" si="28"/>
        <v>50.085338446536369</v>
      </c>
      <c r="N28" s="9">
        <f t="shared" si="28"/>
        <v>50.241402084044395</v>
      </c>
    </row>
    <row r="29" spans="2:31" x14ac:dyDescent="0.2">
      <c r="B29" s="143" t="s">
        <v>92</v>
      </c>
      <c r="C29" s="9">
        <f t="shared" si="29"/>
        <v>47.565494071452093</v>
      </c>
      <c r="D29" s="9">
        <f t="shared" si="28"/>
        <v>45.197732429363143</v>
      </c>
      <c r="E29" s="9">
        <f t="shared" si="28"/>
        <v>31.884761294196217</v>
      </c>
      <c r="F29" s="9">
        <f t="shared" si="28"/>
        <v>34.264547338735838</v>
      </c>
      <c r="G29" s="9">
        <f t="shared" si="28"/>
        <v>34.674317122627897</v>
      </c>
      <c r="H29" s="9">
        <f t="shared" si="28"/>
        <v>37.443678257588971</v>
      </c>
      <c r="I29" s="9">
        <f t="shared" si="28"/>
        <v>36.524057043329158</v>
      </c>
      <c r="J29" s="9">
        <f t="shared" si="28"/>
        <v>37.745167211332657</v>
      </c>
      <c r="K29" s="9">
        <f t="shared" si="28"/>
        <v>34.539825615626469</v>
      </c>
      <c r="L29" s="9">
        <f t="shared" si="28"/>
        <v>33.608615223671485</v>
      </c>
      <c r="M29" s="9">
        <f t="shared" si="28"/>
        <v>44.358855756568929</v>
      </c>
      <c r="N29" s="9">
        <f t="shared" si="28"/>
        <v>44.605328562260873</v>
      </c>
    </row>
    <row r="30" spans="2:31" x14ac:dyDescent="0.2">
      <c r="B30" s="143" t="s">
        <v>93</v>
      </c>
      <c r="C30" s="9">
        <f>2*C14-T14</f>
        <v>41.228428114469324</v>
      </c>
      <c r="D30" s="9">
        <f>2*D14-U14</f>
        <v>47.599546051393389</v>
      </c>
      <c r="E30" s="9">
        <f t="shared" si="28"/>
        <v>45.122956704679694</v>
      </c>
      <c r="F30" s="9">
        <f t="shared" si="28"/>
        <v>46.824943031659757</v>
      </c>
      <c r="G30" s="9">
        <f t="shared" si="28"/>
        <v>49.243626916716785</v>
      </c>
      <c r="H30" s="9">
        <f t="shared" si="28"/>
        <v>48.012382175562699</v>
      </c>
      <c r="I30" s="9">
        <f t="shared" si="28"/>
        <v>46.41184625637915</v>
      </c>
      <c r="J30" s="9">
        <f t="shared" si="28"/>
        <v>48.681165604691081</v>
      </c>
      <c r="K30" s="9">
        <f t="shared" si="28"/>
        <v>48.725765206296913</v>
      </c>
      <c r="L30" s="9">
        <f t="shared" si="28"/>
        <v>50.287314879516956</v>
      </c>
      <c r="M30" s="9">
        <f t="shared" si="28"/>
        <v>51.707051993930946</v>
      </c>
      <c r="N30" s="9">
        <f t="shared" si="28"/>
        <v>56.179215237875852</v>
      </c>
    </row>
    <row r="31" spans="2:31" x14ac:dyDescent="0.2">
      <c r="B31" s="143" t="s">
        <v>94</v>
      </c>
      <c r="C31" s="9">
        <f t="shared" si="29"/>
        <v>56.808065569980897</v>
      </c>
      <c r="D31" s="9">
        <f t="shared" si="28"/>
        <v>51.050110943705462</v>
      </c>
      <c r="E31" s="9">
        <f t="shared" si="28"/>
        <v>50.199462798108968</v>
      </c>
      <c r="F31" s="9">
        <f t="shared" si="28"/>
        <v>48.845446125299475</v>
      </c>
      <c r="G31" s="9">
        <f t="shared" si="28"/>
        <v>52.494410011194816</v>
      </c>
      <c r="H31" s="9">
        <f t="shared" si="28"/>
        <v>46.22775564917039</v>
      </c>
      <c r="I31" s="9">
        <f t="shared" si="28"/>
        <v>46.055348536271772</v>
      </c>
      <c r="J31" s="9">
        <f t="shared" si="28"/>
        <v>47.23598308173716</v>
      </c>
      <c r="K31" s="9">
        <f t="shared" si="28"/>
        <v>45.029782494392009</v>
      </c>
      <c r="L31" s="9">
        <f t="shared" si="28"/>
        <v>48.551300088175751</v>
      </c>
      <c r="M31" s="9">
        <f t="shared" si="28"/>
        <v>53.140925850140519</v>
      </c>
      <c r="N31" s="9">
        <f t="shared" si="28"/>
        <v>54.550904712706284</v>
      </c>
    </row>
    <row r="35" spans="2:30" x14ac:dyDescent="0.2">
      <c r="C35" s="158" t="s">
        <v>2</v>
      </c>
      <c r="D35" s="158" t="s">
        <v>3</v>
      </c>
      <c r="E35" s="158" t="s">
        <v>4</v>
      </c>
      <c r="F35" s="158" t="s">
        <v>5</v>
      </c>
      <c r="G35" s="158" t="s">
        <v>6</v>
      </c>
      <c r="H35" s="158" t="s">
        <v>7</v>
      </c>
      <c r="I35" s="158" t="s">
        <v>8</v>
      </c>
      <c r="J35" s="158" t="s">
        <v>9</v>
      </c>
      <c r="K35" s="158" t="s">
        <v>10</v>
      </c>
      <c r="L35" s="158" t="s">
        <v>11</v>
      </c>
      <c r="M35" s="158" t="s">
        <v>12</v>
      </c>
      <c r="N35" s="158" t="s">
        <v>13</v>
      </c>
    </row>
    <row r="36" spans="2:30" x14ac:dyDescent="0.2">
      <c r="B36" s="143" t="s">
        <v>95</v>
      </c>
      <c r="C36" s="9">
        <f t="shared" ref="C36:N47" si="31">(C4-T4)/$Q$5</f>
        <v>0</v>
      </c>
      <c r="D36" s="9">
        <f t="shared" si="31"/>
        <v>0</v>
      </c>
      <c r="E36" s="9">
        <f t="shared" si="31"/>
        <v>0</v>
      </c>
      <c r="F36" s="9">
        <f t="shared" si="31"/>
        <v>0</v>
      </c>
      <c r="G36" s="9">
        <f t="shared" si="31"/>
        <v>0</v>
      </c>
      <c r="H36" s="9">
        <f t="shared" si="31"/>
        <v>0</v>
      </c>
      <c r="I36" s="9">
        <f t="shared" si="31"/>
        <v>0</v>
      </c>
      <c r="J36" s="9">
        <f t="shared" si="31"/>
        <v>0</v>
      </c>
      <c r="K36" s="9">
        <f t="shared" si="31"/>
        <v>0</v>
      </c>
      <c r="L36" s="9">
        <f t="shared" si="31"/>
        <v>0</v>
      </c>
      <c r="M36" s="9">
        <f t="shared" si="31"/>
        <v>0</v>
      </c>
      <c r="N36" s="9">
        <f t="shared" si="31"/>
        <v>0</v>
      </c>
    </row>
    <row r="37" spans="2:30" x14ac:dyDescent="0.2">
      <c r="B37" s="143" t="s">
        <v>96</v>
      </c>
      <c r="C37" s="9">
        <f t="shared" si="31"/>
        <v>-0.2327723363874668</v>
      </c>
      <c r="D37" s="9">
        <f t="shared" si="31"/>
        <v>-0.26319022279212961</v>
      </c>
      <c r="E37" s="9">
        <f t="shared" si="31"/>
        <v>-0.25585541330448602</v>
      </c>
      <c r="F37" s="9">
        <f t="shared" si="31"/>
        <v>-0.21824653720604151</v>
      </c>
      <c r="G37" s="9">
        <f t="shared" si="31"/>
        <v>-0.18502416482080497</v>
      </c>
      <c r="H37" s="9">
        <f t="shared" si="31"/>
        <v>-0.21810271741216866</v>
      </c>
      <c r="I37" s="9">
        <f t="shared" si="31"/>
        <v>-0.21695215906116386</v>
      </c>
      <c r="J37" s="9">
        <f t="shared" si="31"/>
        <v>-0.24880824340458815</v>
      </c>
      <c r="K37" s="9">
        <f t="shared" si="31"/>
        <v>-0.26592279887576875</v>
      </c>
      <c r="L37" s="9">
        <f t="shared" si="31"/>
        <v>-0.27908231001537448</v>
      </c>
      <c r="M37" s="9">
        <f t="shared" si="31"/>
        <v>-0.30878109745066207</v>
      </c>
      <c r="N37" s="9">
        <f t="shared" si="31"/>
        <v>-0.306336160954776</v>
      </c>
    </row>
    <row r="38" spans="2:30" x14ac:dyDescent="0.2">
      <c r="B38" s="143" t="s">
        <v>97</v>
      </c>
      <c r="C38" s="9">
        <f t="shared" si="31"/>
        <v>3.0873979913829217</v>
      </c>
      <c r="D38" s="9">
        <f t="shared" si="31"/>
        <v>1.1401469943412041</v>
      </c>
      <c r="E38" s="9">
        <f t="shared" si="31"/>
        <v>0.63074470928743165</v>
      </c>
      <c r="F38" s="9">
        <f t="shared" si="31"/>
        <v>2.6335885389744704</v>
      </c>
      <c r="G38" s="9">
        <f t="shared" si="31"/>
        <v>4.6635714928838583</v>
      </c>
      <c r="H38" s="9">
        <f t="shared" si="31"/>
        <v>2.5516549280753735</v>
      </c>
      <c r="I38" s="9">
        <f t="shared" si="31"/>
        <v>4.3063546226826235</v>
      </c>
      <c r="J38" s="9">
        <f t="shared" si="31"/>
        <v>2.7878793674318447</v>
      </c>
      <c r="K38" s="9">
        <f t="shared" si="31"/>
        <v>2.8099425498239814</v>
      </c>
      <c r="L38" s="9">
        <f t="shared" si="31"/>
        <v>3.4797699493910397</v>
      </c>
      <c r="M38" s="9">
        <f t="shared" si="31"/>
        <v>2.5412017050538545</v>
      </c>
      <c r="N38" s="9">
        <f t="shared" si="31"/>
        <v>3.0060615400692745</v>
      </c>
    </row>
    <row r="39" spans="2:30" x14ac:dyDescent="0.2">
      <c r="B39" s="143" t="s">
        <v>98</v>
      </c>
      <c r="C39" s="9">
        <f t="shared" si="31"/>
        <v>5.7456098818235786</v>
      </c>
      <c r="D39" s="9">
        <f t="shared" si="31"/>
        <v>5.1275162697832517</v>
      </c>
      <c r="E39" s="9">
        <f t="shared" si="31"/>
        <v>4.5155775753910294</v>
      </c>
      <c r="F39" s="9">
        <f t="shared" si="31"/>
        <v>5.4537410109945998</v>
      </c>
      <c r="G39" s="9">
        <f t="shared" si="31"/>
        <v>6.0014662980098219</v>
      </c>
      <c r="H39" s="9">
        <f t="shared" si="31"/>
        <v>4.2861963083086785</v>
      </c>
      <c r="I39" s="9">
        <f t="shared" si="31"/>
        <v>4.295374247122516</v>
      </c>
      <c r="J39" s="9">
        <f t="shared" si="31"/>
        <v>3.5772203147086157</v>
      </c>
      <c r="K39" s="9">
        <f t="shared" si="31"/>
        <v>3.205006477138483</v>
      </c>
      <c r="L39" s="9">
        <f t="shared" si="31"/>
        <v>2.0767342453459308</v>
      </c>
      <c r="M39" s="9">
        <f t="shared" si="31"/>
        <v>1.3101719921057118</v>
      </c>
      <c r="N39" s="9">
        <f t="shared" si="31"/>
        <v>0.81711610409913771</v>
      </c>
    </row>
    <row r="40" spans="2:30" x14ac:dyDescent="0.2">
      <c r="B40" s="143" t="s">
        <v>99</v>
      </c>
      <c r="C40" s="9">
        <f t="shared" si="31"/>
        <v>1.8768464065807806</v>
      </c>
      <c r="D40" s="9">
        <f t="shared" si="31"/>
        <v>2.5760417482820457</v>
      </c>
      <c r="E40" s="9">
        <f t="shared" si="31"/>
        <v>4.1622303012054589</v>
      </c>
      <c r="F40" s="9">
        <f t="shared" si="31"/>
        <v>5.0618918351033306</v>
      </c>
      <c r="G40" s="9">
        <f t="shared" si="31"/>
        <v>5.4313253347925476</v>
      </c>
      <c r="H40" s="9">
        <f t="shared" si="31"/>
        <v>4.5179910347200796</v>
      </c>
      <c r="I40" s="9">
        <f t="shared" si="31"/>
        <v>5.412844947880239</v>
      </c>
      <c r="J40" s="9">
        <f t="shared" si="31"/>
        <v>3.7996734333616797</v>
      </c>
      <c r="K40" s="9">
        <f t="shared" si="31"/>
        <v>2.1341399087914024</v>
      </c>
      <c r="L40" s="9">
        <f t="shared" si="31"/>
        <v>2.1662901460400148</v>
      </c>
      <c r="M40" s="9">
        <f t="shared" si="31"/>
        <v>1.4736408578442608</v>
      </c>
      <c r="N40" s="9">
        <f t="shared" si="31"/>
        <v>0.44662425519892229</v>
      </c>
    </row>
    <row r="41" spans="2:30" x14ac:dyDescent="0.2">
      <c r="B41" s="143" t="s">
        <v>100</v>
      </c>
      <c r="C41" s="9">
        <f t="shared" si="31"/>
        <v>-0.69622802461011291</v>
      </c>
      <c r="D41" s="9">
        <f t="shared" si="31"/>
        <v>-1.4187857403942084</v>
      </c>
      <c r="E41" s="9">
        <f t="shared" si="31"/>
        <v>-0.51812558078102178</v>
      </c>
      <c r="F41" s="9">
        <f t="shared" si="31"/>
        <v>0.70369514377710385</v>
      </c>
      <c r="G41" s="9">
        <f t="shared" si="31"/>
        <v>2.2407949950645043</v>
      </c>
      <c r="H41" s="9">
        <f t="shared" si="31"/>
        <v>-0.60785678622939188</v>
      </c>
      <c r="I41" s="9">
        <f t="shared" si="31"/>
        <v>0.11342221696956437</v>
      </c>
      <c r="J41" s="9">
        <f t="shared" si="31"/>
        <v>-0.22124143032523153</v>
      </c>
      <c r="K41" s="9">
        <f t="shared" si="31"/>
        <v>-0.75614654503791823</v>
      </c>
      <c r="L41" s="9">
        <f t="shared" si="31"/>
        <v>0.64338574243062996</v>
      </c>
      <c r="M41" s="9">
        <f t="shared" si="31"/>
        <v>0.41210478660434074</v>
      </c>
      <c r="N41" s="9">
        <f t="shared" si="31"/>
        <v>2.0258219018648718</v>
      </c>
    </row>
    <row r="42" spans="2:30" x14ac:dyDescent="0.2">
      <c r="B42" s="143" t="s">
        <v>101</v>
      </c>
      <c r="C42" s="9">
        <f t="shared" si="31"/>
        <v>2.4699328113304486</v>
      </c>
      <c r="D42" s="9">
        <f t="shared" si="31"/>
        <v>0.69958077007477271</v>
      </c>
      <c r="E42" s="9">
        <f t="shared" si="31"/>
        <v>2.7636381858842505</v>
      </c>
      <c r="F42" s="9">
        <f t="shared" si="31"/>
        <v>3.8440624536128016</v>
      </c>
      <c r="G42" s="9">
        <f t="shared" si="31"/>
        <v>3.8740640415267977</v>
      </c>
      <c r="H42" s="9">
        <f t="shared" si="31"/>
        <v>3.9238333545234321</v>
      </c>
      <c r="I42" s="9">
        <f t="shared" si="31"/>
        <v>3.8576777621864582</v>
      </c>
      <c r="J42" s="9">
        <f t="shared" si="31"/>
        <v>3.1736205634173995</v>
      </c>
      <c r="K42" s="9">
        <f t="shared" si="31"/>
        <v>4.1321071581869475</v>
      </c>
      <c r="L42" s="9">
        <f t="shared" si="31"/>
        <v>3.3643255566656145</v>
      </c>
      <c r="M42" s="9">
        <f t="shared" si="31"/>
        <v>1.9063598888131021</v>
      </c>
      <c r="N42" s="9">
        <f t="shared" si="31"/>
        <v>1.9400561707265103</v>
      </c>
    </row>
    <row r="43" spans="2:30" x14ac:dyDescent="0.2">
      <c r="B43" s="143" t="s">
        <v>102</v>
      </c>
      <c r="C43" s="9">
        <f t="shared" si="31"/>
        <v>4.1639005071878437</v>
      </c>
      <c r="D43" s="9">
        <f t="shared" si="31"/>
        <v>3.3241254406712257</v>
      </c>
      <c r="E43" s="9">
        <f t="shared" si="31"/>
        <v>1.9052724373286816</v>
      </c>
      <c r="F43" s="9">
        <f t="shared" si="31"/>
        <v>3.0449073297478311</v>
      </c>
      <c r="G43" s="9">
        <f t="shared" si="31"/>
        <v>0.39221256065519544</v>
      </c>
      <c r="H43" s="9">
        <f t="shared" si="31"/>
        <v>1.1446328824703842</v>
      </c>
      <c r="I43" s="9">
        <f t="shared" si="31"/>
        <v>0.86647561451263533</v>
      </c>
      <c r="J43" s="9">
        <f t="shared" si="31"/>
        <v>-0.60264347048455735</v>
      </c>
      <c r="K43" s="9">
        <f t="shared" si="31"/>
        <v>-0.10033062147290779</v>
      </c>
      <c r="L43" s="9">
        <f t="shared" si="31"/>
        <v>-2.6094216536486479</v>
      </c>
      <c r="M43" s="9">
        <f t="shared" si="31"/>
        <v>-3.5638189214389739</v>
      </c>
      <c r="N43" s="9">
        <f t="shared" si="31"/>
        <v>-4.860105316009431</v>
      </c>
    </row>
    <row r="44" spans="2:30" x14ac:dyDescent="0.2">
      <c r="B44" s="143" t="s">
        <v>103</v>
      </c>
      <c r="C44" s="9">
        <f t="shared" si="31"/>
        <v>-3.4777681564502552</v>
      </c>
      <c r="D44" s="9">
        <f t="shared" si="31"/>
        <v>-2.4960844440930106</v>
      </c>
      <c r="E44" s="9">
        <f t="shared" si="31"/>
        <v>-3.7232269112782643</v>
      </c>
      <c r="F44" s="9">
        <f t="shared" si="31"/>
        <v>-2.6082191231558536</v>
      </c>
      <c r="G44" s="9">
        <f t="shared" si="31"/>
        <v>-4.1089822054166731</v>
      </c>
      <c r="H44" s="9">
        <f t="shared" si="31"/>
        <v>-3.1671907103464507</v>
      </c>
      <c r="I44" s="9">
        <f t="shared" si="31"/>
        <v>-3.9793337583034516</v>
      </c>
      <c r="J44" s="9">
        <f t="shared" si="31"/>
        <v>-4.2569753036991616</v>
      </c>
      <c r="K44" s="9">
        <f t="shared" si="31"/>
        <v>-3.6083460937680938</v>
      </c>
      <c r="L44" s="9">
        <f t="shared" si="31"/>
        <v>-3.6668830632899443</v>
      </c>
      <c r="M44" s="9">
        <f t="shared" si="31"/>
        <v>-2.7286856124949188</v>
      </c>
      <c r="N44" s="9">
        <f t="shared" si="31"/>
        <v>-2.292308445608362</v>
      </c>
      <c r="S44" s="158" t="s">
        <v>2</v>
      </c>
      <c r="T44" s="158" t="s">
        <v>3</v>
      </c>
      <c r="U44" s="158" t="s">
        <v>4</v>
      </c>
      <c r="V44" s="158" t="s">
        <v>5</v>
      </c>
      <c r="W44" s="158" t="s">
        <v>6</v>
      </c>
      <c r="X44" s="158" t="s">
        <v>7</v>
      </c>
      <c r="Y44" s="158" t="s">
        <v>8</v>
      </c>
      <c r="Z44" s="158" t="s">
        <v>9</v>
      </c>
      <c r="AA44" s="158" t="s">
        <v>10</v>
      </c>
      <c r="AB44" s="158" t="s">
        <v>11</v>
      </c>
      <c r="AC44" s="158" t="s">
        <v>12</v>
      </c>
      <c r="AD44" s="158" t="s">
        <v>13</v>
      </c>
    </row>
    <row r="45" spans="2:30" x14ac:dyDescent="0.2">
      <c r="B45" s="143" t="s">
        <v>104</v>
      </c>
      <c r="C45" s="9">
        <f t="shared" si="31"/>
        <v>-3.0736608856628953</v>
      </c>
      <c r="D45" s="9">
        <f t="shared" si="31"/>
        <v>-4.0430020249313747</v>
      </c>
      <c r="E45" s="9">
        <f t="shared" si="31"/>
        <v>-8.4504796236760953</v>
      </c>
      <c r="F45" s="9">
        <f t="shared" si="31"/>
        <v>-8.5932827848751696</v>
      </c>
      <c r="G45" s="9">
        <f t="shared" si="31"/>
        <v>-6.7753202968052415</v>
      </c>
      <c r="H45" s="9">
        <f t="shared" si="31"/>
        <v>-5.4471995831394144</v>
      </c>
      <c r="I45" s="9">
        <f t="shared" si="31"/>
        <v>-6.6312010843237363</v>
      </c>
      <c r="J45" s="9">
        <f t="shared" si="31"/>
        <v>-5.5862738249118378</v>
      </c>
      <c r="K45" s="9">
        <f t="shared" si="31"/>
        <v>-7.4711958469857063</v>
      </c>
      <c r="L45" s="9">
        <f t="shared" si="31"/>
        <v>-7.7414430853416434</v>
      </c>
      <c r="M45" s="9">
        <f t="shared" si="31"/>
        <v>-4.2727323443024954</v>
      </c>
      <c r="N45" s="9">
        <f t="shared" si="31"/>
        <v>-3.9472259296921184</v>
      </c>
      <c r="R45" s="165" t="s">
        <v>105</v>
      </c>
      <c r="S45" s="9">
        <f>C31+C47</f>
        <v>58.520878610629772</v>
      </c>
      <c r="T45" s="9">
        <f t="shared" ref="T45:AD45" si="32">D31+D47</f>
        <v>50.167444960923817</v>
      </c>
      <c r="U45" s="9">
        <f t="shared" si="32"/>
        <v>50.44417754099306</v>
      </c>
      <c r="V45" s="9">
        <f t="shared" si="32"/>
        <v>47.799061419293523</v>
      </c>
      <c r="W45" s="9">
        <f t="shared" si="32"/>
        <v>53.141288248266399</v>
      </c>
      <c r="X45" s="9">
        <f t="shared" si="32"/>
        <v>44.849075547588988</v>
      </c>
      <c r="Y45" s="9">
        <f t="shared" si="32"/>
        <v>44.479833306186599</v>
      </c>
      <c r="Z45" s="9">
        <f t="shared" si="32"/>
        <v>45.984792702254055</v>
      </c>
      <c r="AA45" s="9">
        <f t="shared" si="32"/>
        <v>42.914866508277491</v>
      </c>
      <c r="AB45" s="9">
        <f t="shared" si="32"/>
        <v>47.542978310189049</v>
      </c>
      <c r="AC45" s="9">
        <f t="shared" si="32"/>
        <v>52.574286036285827</v>
      </c>
      <c r="AD45" s="9">
        <f t="shared" si="32"/>
        <v>54.024734744065142</v>
      </c>
    </row>
    <row r="46" spans="2:30" x14ac:dyDescent="0.2">
      <c r="B46" s="143" t="s">
        <v>106</v>
      </c>
      <c r="C46" s="9">
        <f t="shared" si="31"/>
        <v>-4.6903155934399576</v>
      </c>
      <c r="D46" s="9">
        <f t="shared" si="31"/>
        <v>-2.35918601419485</v>
      </c>
      <c r="E46" s="9">
        <f t="shared" si="31"/>
        <v>-1.5464328569179249</v>
      </c>
      <c r="F46" s="9">
        <f t="shared" si="31"/>
        <v>-1.8961151725757648</v>
      </c>
      <c r="G46" s="9">
        <f t="shared" si="31"/>
        <v>1.6386232692036224E-2</v>
      </c>
      <c r="H46" s="9">
        <f t="shared" si="31"/>
        <v>-0.4663309844178023</v>
      </c>
      <c r="I46" s="9">
        <f t="shared" si="31"/>
        <v>-1.4926858477505822</v>
      </c>
      <c r="J46" s="9">
        <f t="shared" si="31"/>
        <v>-0.43893086537322923</v>
      </c>
      <c r="K46" s="9">
        <f t="shared" si="31"/>
        <v>-0.58498076494067952</v>
      </c>
      <c r="L46" s="9">
        <f t="shared" si="31"/>
        <v>8.6651257483317257E-2</v>
      </c>
      <c r="M46" s="9">
        <f t="shared" si="31"/>
        <v>-0.82792807412338632</v>
      </c>
      <c r="N46" s="9">
        <f t="shared" si="31"/>
        <v>0.82534657015835178</v>
      </c>
    </row>
    <row r="47" spans="2:30" x14ac:dyDescent="0.2">
      <c r="B47" s="143" t="s">
        <v>107</v>
      </c>
      <c r="C47" s="9">
        <f t="shared" si="31"/>
        <v>1.7128130406488784</v>
      </c>
      <c r="D47" s="9">
        <f t="shared" si="31"/>
        <v>-0.88266598278164643</v>
      </c>
      <c r="E47" s="9">
        <f t="shared" si="31"/>
        <v>0.24471474288408862</v>
      </c>
      <c r="F47" s="9">
        <f t="shared" si="31"/>
        <v>-1.046384706005953</v>
      </c>
      <c r="G47" s="9">
        <f t="shared" si="31"/>
        <v>0.64687823707158199</v>
      </c>
      <c r="H47" s="9">
        <f t="shared" si="31"/>
        <v>-1.3786801015813994</v>
      </c>
      <c r="I47" s="9">
        <f t="shared" si="31"/>
        <v>-1.5755152300851711</v>
      </c>
      <c r="J47" s="9">
        <f t="shared" si="31"/>
        <v>-1.2511903794831021</v>
      </c>
      <c r="K47" s="9">
        <f t="shared" si="31"/>
        <v>-2.1149159861145166</v>
      </c>
      <c r="L47" s="9">
        <f t="shared" si="31"/>
        <v>-1.0083217779866993</v>
      </c>
      <c r="M47" s="9">
        <f t="shared" si="31"/>
        <v>-0.56663981385468987</v>
      </c>
      <c r="N47" s="9">
        <f t="shared" si="31"/>
        <v>-0.52616996864114318</v>
      </c>
    </row>
    <row r="48" spans="2:30" x14ac:dyDescent="0.2">
      <c r="C48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1603-C47B-4FA9-9FB9-145FA317BCE8}">
  <dimension ref="B3:AE48"/>
  <sheetViews>
    <sheetView topLeftCell="J1" workbookViewId="0">
      <selection activeCell="Q24" sqref="Q24"/>
    </sheetView>
  </sheetViews>
  <sheetFormatPr baseColWidth="10" defaultColWidth="8.83203125" defaultRowHeight="15" x14ac:dyDescent="0.2"/>
  <cols>
    <col min="17" max="17" width="9.33203125" bestFit="1" customWidth="1"/>
    <col min="20" max="31" width="9.33203125" bestFit="1" customWidth="1"/>
  </cols>
  <sheetData>
    <row r="3" spans="2:31" x14ac:dyDescent="0.2">
      <c r="C3" s="158" t="s">
        <v>2</v>
      </c>
      <c r="D3" s="158" t="s">
        <v>3</v>
      </c>
      <c r="E3" s="158" t="s">
        <v>4</v>
      </c>
      <c r="F3" s="158" t="s">
        <v>5</v>
      </c>
      <c r="G3" s="158" t="s">
        <v>6</v>
      </c>
      <c r="H3" s="158" t="s">
        <v>7</v>
      </c>
      <c r="I3" s="158" t="s">
        <v>8</v>
      </c>
      <c r="J3" s="158" t="s">
        <v>9</v>
      </c>
      <c r="K3" s="158" t="s">
        <v>10</v>
      </c>
      <c r="L3" s="158" t="s">
        <v>11</v>
      </c>
      <c r="M3" s="158" t="s">
        <v>12</v>
      </c>
      <c r="N3" s="158" t="s">
        <v>13</v>
      </c>
      <c r="P3" s="136" t="s">
        <v>44</v>
      </c>
      <c r="Q3" s="9">
        <v>0.50690000000000002</v>
      </c>
      <c r="T3" s="159" t="s">
        <v>2</v>
      </c>
      <c r="U3" s="159" t="s">
        <v>3</v>
      </c>
      <c r="V3" s="159" t="s">
        <v>4</v>
      </c>
      <c r="W3" s="159" t="s">
        <v>5</v>
      </c>
      <c r="X3" s="159" t="s">
        <v>6</v>
      </c>
      <c r="Y3" s="159" t="s">
        <v>7</v>
      </c>
      <c r="Z3" s="159" t="s">
        <v>8</v>
      </c>
      <c r="AA3" s="159" t="s">
        <v>9</v>
      </c>
      <c r="AB3" s="159" t="s">
        <v>10</v>
      </c>
      <c r="AC3" s="159" t="s">
        <v>11</v>
      </c>
      <c r="AD3" s="159" t="s">
        <v>12</v>
      </c>
      <c r="AE3" s="159" t="s">
        <v>13</v>
      </c>
    </row>
    <row r="4" spans="2:31" x14ac:dyDescent="0.2">
      <c r="B4" s="134" t="s">
        <v>45</v>
      </c>
      <c r="C4" s="9">
        <f>Test_Seasonality!C8</f>
        <v>32.369999999999997</v>
      </c>
      <c r="D4" s="9">
        <f>Test_Seasonality!D8</f>
        <v>36.6</v>
      </c>
      <c r="E4" s="9">
        <f>Test_Seasonality!E8</f>
        <v>35.58</v>
      </c>
      <c r="F4" s="9">
        <f>Test_Seasonality!F8</f>
        <v>30.35</v>
      </c>
      <c r="G4" s="9">
        <f>Test_Seasonality!G8</f>
        <v>25.73</v>
      </c>
      <c r="H4" s="9">
        <f>Test_Seasonality!H8</f>
        <v>30.33</v>
      </c>
      <c r="I4" s="9">
        <f>Test_Seasonality!I8</f>
        <v>30.17</v>
      </c>
      <c r="J4" s="9">
        <f>Test_Seasonality!J8</f>
        <v>34.6</v>
      </c>
      <c r="K4" s="9">
        <f>Test_Seasonality!K8</f>
        <v>36.979999999999997</v>
      </c>
      <c r="L4" s="9">
        <f>Test_Seasonality!L8</f>
        <v>38.81</v>
      </c>
      <c r="M4" s="9">
        <f>Test_Seasonality!M8</f>
        <v>42.94</v>
      </c>
      <c r="N4" s="9">
        <f>Test_Seasonality!N8</f>
        <v>42.6</v>
      </c>
      <c r="S4" s="134" t="s">
        <v>46</v>
      </c>
      <c r="T4" s="9">
        <f t="shared" ref="T4:AE4" si="0">C4</f>
        <v>32.369999999999997</v>
      </c>
      <c r="U4" s="9">
        <f t="shared" si="0"/>
        <v>36.6</v>
      </c>
      <c r="V4" s="9">
        <f t="shared" si="0"/>
        <v>35.58</v>
      </c>
      <c r="W4" s="9">
        <f t="shared" si="0"/>
        <v>30.35</v>
      </c>
      <c r="X4" s="9">
        <f t="shared" si="0"/>
        <v>25.73</v>
      </c>
      <c r="Y4" s="9">
        <f t="shared" si="0"/>
        <v>30.33</v>
      </c>
      <c r="Z4" s="9">
        <f t="shared" si="0"/>
        <v>30.17</v>
      </c>
      <c r="AA4" s="9">
        <f t="shared" si="0"/>
        <v>34.6</v>
      </c>
      <c r="AB4" s="9">
        <f t="shared" si="0"/>
        <v>36.979999999999997</v>
      </c>
      <c r="AC4" s="9">
        <f t="shared" si="0"/>
        <v>38.81</v>
      </c>
      <c r="AD4" s="9">
        <f t="shared" si="0"/>
        <v>42.94</v>
      </c>
      <c r="AE4" s="9">
        <f t="shared" si="0"/>
        <v>42.6</v>
      </c>
    </row>
    <row r="5" spans="2:31" x14ac:dyDescent="0.2">
      <c r="B5" s="134" t="s">
        <v>47</v>
      </c>
      <c r="C5" s="9">
        <f>$Q$3*C4+$Q$3*Test_Seasonality!C8</f>
        <v>32.816705999999996</v>
      </c>
      <c r="D5" s="9">
        <f>$Q$3*D4+$Q$3*Test_Seasonality!D8</f>
        <v>37.105080000000001</v>
      </c>
      <c r="E5" s="9">
        <f>$Q$3*E4+$Q$3*Test_Seasonality!E8</f>
        <v>36.071004000000002</v>
      </c>
      <c r="F5" s="9">
        <f>$Q$3*F4+$Q$3*Test_Seasonality!F8</f>
        <v>30.768830000000001</v>
      </c>
      <c r="G5" s="9">
        <f>$Q$3*G4+$Q$3*Test_Seasonality!G8</f>
        <v>26.085074000000002</v>
      </c>
      <c r="H5" s="9">
        <f>$Q$3*H4+$Q$3*Test_Seasonality!H8</f>
        <v>30.748553999999999</v>
      </c>
      <c r="I5" s="9">
        <f>$Q$3*I4+$Q$3*Test_Seasonality!I8</f>
        <v>30.586346000000002</v>
      </c>
      <c r="J5" s="9">
        <f>$Q$3*J4+$Q$3*Test_Seasonality!J8</f>
        <v>35.077480000000001</v>
      </c>
      <c r="K5" s="9">
        <f>$Q$3*K4+$Q$3*Test_Seasonality!K8</f>
        <v>37.490324000000001</v>
      </c>
      <c r="L5" s="9">
        <f>$Q$3*L4+$Q$3*Test_Seasonality!L8</f>
        <v>39.345578000000003</v>
      </c>
      <c r="M5" s="9">
        <f>$Q$3*M4+$Q$3*Test_Seasonality!M8</f>
        <v>43.532572000000002</v>
      </c>
      <c r="N5" s="9">
        <f>$Q$3*N4+$Q$3*Test_Seasonality!N8</f>
        <v>43.18788</v>
      </c>
      <c r="P5" s="138" t="s">
        <v>48</v>
      </c>
      <c r="Q5" s="9">
        <f>(1-Q3)/Q3</f>
        <v>0.97277569540343256</v>
      </c>
      <c r="S5" s="134" t="s">
        <v>49</v>
      </c>
      <c r="T5" s="9">
        <f t="shared" ref="T5:T15" si="1">$Q$3*C5+$Q$3*T4</f>
        <v>33.043141271399996</v>
      </c>
      <c r="U5" s="9">
        <f t="shared" ref="U5:U15" si="2">$Q$3*D5+$Q$3*U4</f>
        <v>37.361105051999999</v>
      </c>
      <c r="V5" s="9">
        <f t="shared" ref="V5:V15" si="3">$Q$3*E5+$Q$3*V4</f>
        <v>36.319893927600006</v>
      </c>
      <c r="W5" s="9">
        <f t="shared" ref="W5:W15" si="4">$Q$3*F5+$Q$3*W4</f>
        <v>30.981134926999999</v>
      </c>
      <c r="X5" s="9">
        <f t="shared" ref="X5:X15" si="5">$Q$3*G5+$Q$3*X4</f>
        <v>26.2650610106</v>
      </c>
      <c r="Y5" s="9">
        <f t="shared" ref="Y5:Y15" si="6">$Q$3*H5+$Q$3*Y4</f>
        <v>30.960719022599999</v>
      </c>
      <c r="Z5" s="9">
        <f t="shared" ref="Z5:Z15" si="7">$Q$3*I5+$Q$3*Z4</f>
        <v>30.797391787400002</v>
      </c>
      <c r="AA5" s="9">
        <f t="shared" ref="AA5:AA15" si="8">$Q$3*J5+$Q$3*AA4</f>
        <v>35.319514612000006</v>
      </c>
      <c r="AB5" s="9">
        <f t="shared" ref="AB5:AB15" si="9">$Q$3*K5+$Q$3*AB4</f>
        <v>37.749007235600004</v>
      </c>
      <c r="AC5" s="9">
        <f t="shared" ref="AC5:AC15" si="10">$Q$3*L5+$Q$3*AC4</f>
        <v>39.617062488200006</v>
      </c>
      <c r="AD5" s="9">
        <f t="shared" ref="AD5:AD15" si="11">$Q$3*M5+$Q$3*AD4</f>
        <v>43.832946746800005</v>
      </c>
      <c r="AE5" s="9">
        <f t="shared" ref="AE5:AE15" si="12">$Q$3*N5+$Q$3*AE4</f>
        <v>43.485876372</v>
      </c>
    </row>
    <row r="6" spans="2:31" x14ac:dyDescent="0.2">
      <c r="B6" s="134" t="s">
        <v>50</v>
      </c>
      <c r="C6" s="9">
        <f>$Q$3*C5+$Q$3*Test_Seasonality!C9</f>
        <v>40.058637271400002</v>
      </c>
      <c r="D6" s="9">
        <f>$Q$3*D5+$Q$3*Test_Seasonality!D9</f>
        <v>40.655955052000003</v>
      </c>
      <c r="E6" s="9">
        <f>$Q$3*E5+$Q$3*Test_Seasonality!E9</f>
        <v>38.580667927600004</v>
      </c>
      <c r="F6" s="9">
        <f>$Q$3*F5+$Q$3*Test_Seasonality!F9</f>
        <v>37.043658927000003</v>
      </c>
      <c r="G6" s="9">
        <f>$Q$3*G5+$Q$3*Test_Seasonality!G9</f>
        <v>36.2003010106</v>
      </c>
      <c r="H6" s="9">
        <f>$Q$3*H5+$Q$3*Test_Seasonality!H9</f>
        <v>36.861035022599999</v>
      </c>
      <c r="I6" s="9">
        <f>$Q$3*I5+$Q$3*Test_Seasonality!I9</f>
        <v>40.154765787400002</v>
      </c>
      <c r="J6" s="9">
        <f>$Q$3*J5+$Q$3*Test_Seasonality!J9</f>
        <v>41.807834612000001</v>
      </c>
      <c r="K6" s="9">
        <f>$Q$3*K5+$Q$3*Test_Seasonality!K9</f>
        <v>44.348845235600002</v>
      </c>
      <c r="L6" s="9">
        <f>$Q$3*L5+$Q$3*Test_Seasonality!L9</f>
        <v>47.590599488200006</v>
      </c>
      <c r="M6" s="9">
        <f>$Q$3*M5+$Q$3*Test_Seasonality!M9</f>
        <v>50.072885746799997</v>
      </c>
      <c r="N6" s="9">
        <f>$Q$3*N5+$Q$3*Test_Seasonality!N9</f>
        <v>50.633166372000005</v>
      </c>
      <c r="S6" s="134" t="s">
        <v>51</v>
      </c>
      <c r="T6" s="9">
        <f t="shared" si="1"/>
        <v>37.055291543345319</v>
      </c>
      <c r="U6" s="9">
        <f t="shared" si="2"/>
        <v>39.546847766717605</v>
      </c>
      <c r="V6" s="9">
        <f t="shared" si="3"/>
        <v>37.967094804400887</v>
      </c>
      <c r="W6" s="9">
        <f t="shared" si="4"/>
        <v>34.481768004592602</v>
      </c>
      <c r="X6" s="9">
        <f t="shared" si="5"/>
        <v>31.663692008546281</v>
      </c>
      <c r="Y6" s="9">
        <f t="shared" si="6"/>
        <v>34.378847125511882</v>
      </c>
      <c r="Z6" s="9">
        <f t="shared" si="7"/>
        <v>35.965648674666127</v>
      </c>
      <c r="AA6" s="9">
        <f t="shared" si="8"/>
        <v>39.095853321645606</v>
      </c>
      <c r="AB6" s="9">
        <f t="shared" si="9"/>
        <v>41.615401417651285</v>
      </c>
      <c r="AC6" s="9">
        <f t="shared" si="10"/>
        <v>44.20556385583717</v>
      </c>
      <c r="AD6" s="9">
        <f t="shared" si="11"/>
        <v>47.600866491005846</v>
      </c>
      <c r="AE6" s="9">
        <f t="shared" si="12"/>
        <v>47.708942766933603</v>
      </c>
    </row>
    <row r="7" spans="2:31" x14ac:dyDescent="0.2">
      <c r="B7" s="134" t="s">
        <v>52</v>
      </c>
      <c r="C7" s="9">
        <f>$Q$3*C6+$Q$3*Test_Seasonality!C10</f>
        <v>49.427128232872661</v>
      </c>
      <c r="D7" s="9">
        <f>$Q$3*D6+$Q$3*Test_Seasonality!D10</f>
        <v>50.769053615858802</v>
      </c>
      <c r="E7" s="9">
        <f>$Q$3*E6+$Q$3*Test_Seasonality!E10</f>
        <v>47.937871572500441</v>
      </c>
      <c r="F7" s="9">
        <f>$Q$3*F6+$Q$3*Test_Seasonality!F10</f>
        <v>46.205789710096298</v>
      </c>
      <c r="G7" s="9">
        <f>$Q$3*G6+$Q$3*Test_Seasonality!G10</f>
        <v>44.389385582273135</v>
      </c>
      <c r="H7" s="9">
        <f>$Q$3*H6+$Q$3*Test_Seasonality!H10</f>
        <v>43.796684652955946</v>
      </c>
      <c r="I7" s="9">
        <f>$Q$3*I6+$Q$3*Test_Seasonality!I10</f>
        <v>45.44600077763306</v>
      </c>
      <c r="J7" s="9">
        <f>$Q$3*J6+$Q$3*Test_Seasonality!J10</f>
        <v>47.247051364822802</v>
      </c>
      <c r="K7" s="9">
        <f>$Q$3*K6+$Q$3*Test_Seasonality!K10</f>
        <v>49.10281764992564</v>
      </c>
      <c r="L7" s="9">
        <f>$Q$3*L6+$Q$3*Test_Seasonality!L10</f>
        <v>49.539640880568584</v>
      </c>
      <c r="M7" s="9">
        <f>$Q$3*M6+$Q$3*Test_Seasonality!M10</f>
        <v>51.517709785052922</v>
      </c>
      <c r="N7" s="9">
        <f>$Q$3*N6+$Q$3*Test_Seasonality!N10</f>
        <v>50.656122033966803</v>
      </c>
      <c r="P7" s="139" t="s">
        <v>53</v>
      </c>
      <c r="Q7" s="139" t="s">
        <v>54</v>
      </c>
      <c r="S7" s="134" t="s">
        <v>55</v>
      </c>
      <c r="T7" s="9">
        <f t="shared" si="1"/>
        <v>43.837938584564895</v>
      </c>
      <c r="U7" s="9">
        <f t="shared" si="2"/>
        <v>45.781130410827984</v>
      </c>
      <c r="V7" s="9">
        <f t="shared" si="3"/>
        <v>43.545227456451286</v>
      </c>
      <c r="W7" s="9">
        <f t="shared" si="4"/>
        <v>40.900523005575806</v>
      </c>
      <c r="X7" s="9">
        <f t="shared" si="5"/>
        <v>38.551305030786367</v>
      </c>
      <c r="Y7" s="9">
        <f t="shared" si="6"/>
        <v>39.627177058505346</v>
      </c>
      <c r="Z7" s="9">
        <f t="shared" si="7"/>
        <v>41.267565107370459</v>
      </c>
      <c r="AA7" s="9">
        <f t="shared" si="8"/>
        <v>43.767218385570843</v>
      </c>
      <c r="AB7" s="9">
        <f t="shared" si="9"/>
        <v>45.985065245354747</v>
      </c>
      <c r="AC7" s="9">
        <f t="shared" si="10"/>
        <v>47.519444280884073</v>
      </c>
      <c r="AD7" s="9">
        <f t="shared" si="11"/>
        <v>50.243206314334188</v>
      </c>
      <c r="AE7" s="9">
        <f t="shared" si="12"/>
        <v>49.86125134757642</v>
      </c>
    </row>
    <row r="8" spans="2:31" x14ac:dyDescent="0.2">
      <c r="B8" s="134" t="s">
        <v>56</v>
      </c>
      <c r="C8" s="9">
        <f>$Q$3*C7+$Q$3*Test_Seasonality!C11</f>
        <v>48.767393301243153</v>
      </c>
      <c r="D8" s="9">
        <f>$Q$3*D7+$Q$3*Test_Seasonality!D11</f>
        <v>52.144323277878826</v>
      </c>
      <c r="E8" s="9">
        <f>$Q$3*E7+$Q$3*Test_Seasonality!E11</f>
        <v>52.975040100100472</v>
      </c>
      <c r="F8" s="9">
        <f>$Q$3*F7+$Q$3*Test_Seasonality!F11</f>
        <v>52.031150804047812</v>
      </c>
      <c r="G8" s="9">
        <f>$Q$3*G7+$Q$3*Test_Seasonality!G11</f>
        <v>50.344996551654255</v>
      </c>
      <c r="H8" s="9">
        <f>$Q$3*H7+$Q$3*Test_Seasonality!H11</f>
        <v>49.649174450583374</v>
      </c>
      <c r="I8" s="9">
        <f>$Q$3*I7+$Q$3*Test_Seasonality!I11</f>
        <v>53.100816794182201</v>
      </c>
      <c r="J8" s="9">
        <f>$Q$3*J7+$Q$3*Test_Seasonality!J11</f>
        <v>52.488000336828676</v>
      </c>
      <c r="K8" s="9">
        <f>$Q$3*K7+$Q$3*Test_Seasonality!K11</f>
        <v>51.482192266747305</v>
      </c>
      <c r="L8" s="9">
        <f>$Q$3*L7+$Q$3*Test_Seasonality!L11</f>
        <v>53.122937962360211</v>
      </c>
      <c r="M8" s="9">
        <f>$Q$3*M7+$Q$3*Test_Seasonality!M11</f>
        <v>54.556486090043329</v>
      </c>
      <c r="N8" s="9">
        <f>$Q$3*N7+$Q$3*Test_Seasonality!N11</f>
        <v>52.137768259017776</v>
      </c>
      <c r="P8" s="9">
        <f>AVERAGE(Test_Seasonality!Q4:S4)</f>
        <v>59.742019062559031</v>
      </c>
      <c r="Q8" s="9">
        <f t="shared" ref="Q8:Q18" si="13">(C4-T4)/$Q$5</f>
        <v>0</v>
      </c>
      <c r="S8" s="134" t="s">
        <v>57</v>
      </c>
      <c r="T8" s="9">
        <f t="shared" si="1"/>
        <v>46.941642732916101</v>
      </c>
      <c r="U8" s="9">
        <f t="shared" si="2"/>
        <v>49.638412474805484</v>
      </c>
      <c r="V8" s="9">
        <f t="shared" si="3"/>
        <v>48.926123624416093</v>
      </c>
      <c r="W8" s="9">
        <f t="shared" si="4"/>
        <v>47.107065454098212</v>
      </c>
      <c r="X8" s="9">
        <f t="shared" si="5"/>
        <v>45.061535272139153</v>
      </c>
      <c r="Y8" s="9">
        <f t="shared" si="6"/>
        <v>45.254182579957074</v>
      </c>
      <c r="Z8" s="9">
        <f t="shared" si="7"/>
        <v>47.835332785897045</v>
      </c>
      <c r="AA8" s="9">
        <f t="shared" si="8"/>
        <v>48.79177037038432</v>
      </c>
      <c r="AB8" s="9">
        <f t="shared" si="9"/>
        <v>49.40615283288453</v>
      </c>
      <c r="AC8" s="9">
        <f t="shared" si="10"/>
        <v>51.015623559100533</v>
      </c>
      <c r="AD8" s="9">
        <f t="shared" si="11"/>
        <v>53.122964079778967</v>
      </c>
      <c r="AE8" s="9">
        <f t="shared" si="12"/>
        <v>51.703303038582604</v>
      </c>
    </row>
    <row r="9" spans="2:31" x14ac:dyDescent="0.2">
      <c r="B9" s="134" t="s">
        <v>58</v>
      </c>
      <c r="C9" s="9">
        <f>$Q$3*C8+$Q$3*Test_Seasonality!C12</f>
        <v>46.881859664400153</v>
      </c>
      <c r="D9" s="9">
        <f>$Q$3*D8+$Q$3*Test_Seasonality!D12</f>
        <v>48.228657469556779</v>
      </c>
      <c r="E9" s="9">
        <f>$Q$3*E8+$Q$3*Test_Seasonality!E12</f>
        <v>49.273234826740932</v>
      </c>
      <c r="F9" s="9">
        <f>$Q$3*F8+$Q$3*Test_Seasonality!F12</f>
        <v>49.813646342571836</v>
      </c>
      <c r="G9" s="9">
        <f>$Q$3*G8+$Q$3*Test_Seasonality!G12</f>
        <v>50.743222752033546</v>
      </c>
      <c r="H9" s="9">
        <f>$Q$3*H8+$Q$3*Test_Seasonality!H12</f>
        <v>45.321510529000712</v>
      </c>
      <c r="I9" s="9">
        <f>$Q$3*I8+$Q$3*Test_Seasonality!I12</f>
        <v>49.397819032970958</v>
      </c>
      <c r="J9" s="9">
        <f>$Q$3*J8+$Q$3*Test_Seasonality!J12</f>
        <v>49.720807370738456</v>
      </c>
      <c r="K9" s="9">
        <f>$Q$3*K8+$Q$3*Test_Seasonality!K12</f>
        <v>49.297136260014213</v>
      </c>
      <c r="L9" s="9">
        <f>$Q$3*L8+$Q$3*Test_Seasonality!L12</f>
        <v>53.712613253120395</v>
      </c>
      <c r="M9" s="9">
        <f>$Q$3*M8+$Q$3*Test_Seasonality!M12</f>
        <v>55.422664799042963</v>
      </c>
      <c r="N9" s="9">
        <f>$Q$3*N8+$Q$3*Test_Seasonality!N12</f>
        <v>57.146774730496112</v>
      </c>
      <c r="P9" s="9"/>
      <c r="Q9" s="9">
        <f t="shared" si="13"/>
        <v>-0.2327723363874668</v>
      </c>
      <c r="S9" s="134" t="s">
        <v>59</v>
      </c>
      <c r="T9" s="9">
        <f t="shared" si="1"/>
        <v>47.559133365199614</v>
      </c>
      <c r="U9" s="9">
        <f t="shared" si="2"/>
        <v>49.608817754797229</v>
      </c>
      <c r="V9" s="9">
        <f t="shared" si="3"/>
        <v>49.777254798891498</v>
      </c>
      <c r="W9" s="9">
        <f t="shared" si="4"/>
        <v>49.129108809732045</v>
      </c>
      <c r="X9" s="9">
        <f t="shared" si="5"/>
        <v>48.563431842453141</v>
      </c>
      <c r="Y9" s="9">
        <f t="shared" si="6"/>
        <v>45.912818836930704</v>
      </c>
      <c r="Z9" s="9">
        <f t="shared" si="7"/>
        <v>49.287484656984191</v>
      </c>
      <c r="AA9" s="9">
        <f t="shared" si="8"/>
        <v>49.936025656975133</v>
      </c>
      <c r="AB9" s="9">
        <f t="shared" si="9"/>
        <v>50.032697241190377</v>
      </c>
      <c r="AC9" s="9">
        <f t="shared" si="10"/>
        <v>53.086743240114785</v>
      </c>
      <c r="AD9" s="9">
        <f t="shared" si="11"/>
        <v>55.021779278674842</v>
      </c>
      <c r="AE9" s="9">
        <f t="shared" si="12"/>
        <v>55.176104421146007</v>
      </c>
    </row>
    <row r="10" spans="2:31" x14ac:dyDescent="0.2">
      <c r="B10" s="134" t="s">
        <v>60</v>
      </c>
      <c r="C10" s="9">
        <f>$Q$3*C9+$Q$3*Test_Seasonality!C13</f>
        <v>53.762756663884439</v>
      </c>
      <c r="D10" s="9">
        <f>$Q$3*D9+$Q$3*Test_Seasonality!D13</f>
        <v>52.377296471318331</v>
      </c>
      <c r="E10" s="9">
        <f>$Q$3*E9+$Q$3*Test_Seasonality!E13</f>
        <v>56.622369733674979</v>
      </c>
      <c r="F10" s="9">
        <f>$Q$3*F9+$Q$3*Test_Seasonality!F13</f>
        <v>58.087519331049663</v>
      </c>
      <c r="G10" s="9">
        <f>$Q$3*G9+$Q$3*Test_Seasonality!G13</f>
        <v>57.565197613005807</v>
      </c>
      <c r="H10" s="9">
        <f>$Q$3*H9+$Q$3*Test_Seasonality!H13</f>
        <v>54.938587687150466</v>
      </c>
      <c r="I10" s="9">
        <f>$Q$3*I9+$Q$3*Test_Seasonality!I13</f>
        <v>58.277187467812979</v>
      </c>
      <c r="J10" s="9">
        <f>$Q$3*J9+$Q$3*Test_Seasonality!J13</f>
        <v>57.594387256227321</v>
      </c>
      <c r="K10" s="9">
        <f>$Q$3*K9+$Q$3*Test_Seasonality!K13</f>
        <v>59.584643370201206</v>
      </c>
      <c r="L10" s="9">
        <f>$Q$3*L9+$Q$3*Test_Seasonality!L13</f>
        <v>61.209499658006735</v>
      </c>
      <c r="M10" s="9">
        <f>$Q$3*M9+$Q$3*Test_Seasonality!M13</f>
        <v>60.322450786634874</v>
      </c>
      <c r="N10" s="9">
        <f>$Q$3*N9+$Q$3*Test_Seasonality!N13</f>
        <v>60.547570110888479</v>
      </c>
      <c r="P10" s="9">
        <f t="shared" ref="P10:P18" si="14">2*C6-T6</f>
        <v>43.061982999454685</v>
      </c>
      <c r="Q10" s="9">
        <f t="shared" si="13"/>
        <v>3.0873979913829217</v>
      </c>
      <c r="S10" s="134" t="s">
        <v>61</v>
      </c>
      <c r="T10" s="9">
        <f t="shared" si="1"/>
        <v>51.360066055742706</v>
      </c>
      <c r="U10" s="9">
        <f t="shared" si="2"/>
        <v>51.696761301217975</v>
      </c>
      <c r="V10" s="9">
        <f t="shared" si="3"/>
        <v>53.933969675557947</v>
      </c>
      <c r="W10" s="9">
        <f t="shared" si="4"/>
        <v>54.348108804562244</v>
      </c>
      <c r="X10" s="9">
        <f t="shared" si="5"/>
        <v>53.796602270972144</v>
      </c>
      <c r="Y10" s="9">
        <f t="shared" si="6"/>
        <v>51.121577967056751</v>
      </c>
      <c r="Z10" s="9">
        <f t="shared" si="7"/>
        <v>54.52453230005969</v>
      </c>
      <c r="AA10" s="9">
        <f t="shared" si="8"/>
        <v>54.507166305702327</v>
      </c>
      <c r="AB10" s="9">
        <f t="shared" si="9"/>
        <v>55.565029955914397</v>
      </c>
      <c r="AC10" s="9">
        <f t="shared" si="10"/>
        <v>57.936765525057801</v>
      </c>
      <c r="AD10" s="9">
        <f t="shared" si="11"/>
        <v>58.467990220105499</v>
      </c>
      <c r="AE10" s="9">
        <f t="shared" si="12"/>
        <v>58.660330620288278</v>
      </c>
    </row>
    <row r="11" spans="2:31" x14ac:dyDescent="0.2">
      <c r="B11" s="134" t="s">
        <v>62</v>
      </c>
      <c r="C11" s="9">
        <f>$Q$3*C10+$Q$3*Test_Seasonality!C14</f>
        <v>61.011881352923027</v>
      </c>
      <c r="D11" s="9">
        <f>$Q$3*D10+$Q$3*Test_Seasonality!D14</f>
        <v>59.701311581311259</v>
      </c>
      <c r="E11" s="9">
        <f>$Q$3*E10+$Q$3*Test_Seasonality!E14</f>
        <v>59.202052217999849</v>
      </c>
      <c r="F11" s="9">
        <f>$Q$3*F10+$Q$3*Test_Seasonality!F14</f>
        <v>61.87602554890907</v>
      </c>
      <c r="G11" s="9">
        <f>$Q$3*G10+$Q$3*Test_Seasonality!G14</f>
        <v>56.07591267003265</v>
      </c>
      <c r="H11" s="9">
        <f>$Q$3*H10+$Q$3*Test_Seasonality!H14</f>
        <v>54.810381098616574</v>
      </c>
      <c r="I11" s="9">
        <f>$Q$3*I10+$Q$3*Test_Seasonality!I14</f>
        <v>57.759829327434403</v>
      </c>
      <c r="J11" s="9">
        <f>$Q$3*J10+$Q$3*Test_Seasonality!J14</f>
        <v>54.84373490018163</v>
      </c>
      <c r="K11" s="9">
        <f>$Q$3*K10+$Q$3*Test_Seasonality!K14</f>
        <v>56.922154724354996</v>
      </c>
      <c r="L11" s="9">
        <f>$Q$3*L10+$Q$3*Test_Seasonality!L14</f>
        <v>54.410392376643614</v>
      </c>
      <c r="M11" s="9">
        <f>$Q$3*M10+$Q$3*Test_Seasonality!M14</f>
        <v>53.073672303745226</v>
      </c>
      <c r="N11" s="9">
        <f>$Q$3*N10+$Q$3*Test_Seasonality!N14</f>
        <v>50.714113289209365</v>
      </c>
      <c r="P11" s="9">
        <f t="shared" si="14"/>
        <v>55.016317881180427</v>
      </c>
      <c r="Q11" s="9">
        <f t="shared" si="13"/>
        <v>5.7456098818235786</v>
      </c>
      <c r="S11" s="134" t="s">
        <v>63</v>
      </c>
      <c r="T11" s="9">
        <f t="shared" si="1"/>
        <v>56.961340141452666</v>
      </c>
      <c r="U11" s="9">
        <f t="shared" si="2"/>
        <v>56.467683144154066</v>
      </c>
      <c r="V11" s="9">
        <f t="shared" si="3"/>
        <v>57.348649497844448</v>
      </c>
      <c r="W11" s="9">
        <f t="shared" si="4"/>
        <v>58.914013703774614</v>
      </c>
      <c r="X11" s="9">
        <f t="shared" si="5"/>
        <v>55.694377823595332</v>
      </c>
      <c r="Y11" s="9">
        <f t="shared" si="6"/>
        <v>53.69691005038981</v>
      </c>
      <c r="Z11" s="9">
        <f t="shared" si="7"/>
        <v>56.916942908976758</v>
      </c>
      <c r="AA11" s="9">
        <f t="shared" si="8"/>
        <v>55.429971821262583</v>
      </c>
      <c r="AB11" s="9">
        <f t="shared" si="9"/>
        <v>57.019753914428563</v>
      </c>
      <c r="AC11" s="9">
        <f t="shared" si="10"/>
        <v>56.948774340372452</v>
      </c>
      <c r="AD11" s="9">
        <f t="shared" si="11"/>
        <v>56.540468733339935</v>
      </c>
      <c r="AE11" s="9">
        <f t="shared" si="12"/>
        <v>55.441905617724359</v>
      </c>
    </row>
    <row r="12" spans="2:31" x14ac:dyDescent="0.2">
      <c r="B12" s="134" t="s">
        <v>64</v>
      </c>
      <c r="C12" s="9">
        <f>$Q$3*C11+$Q$3*Test_Seasonality!C15</f>
        <v>51.694615657796689</v>
      </c>
      <c r="D12" s="9">
        <f>$Q$3*D11+$Q$3*Test_Seasonality!D15</f>
        <v>53.123784840566678</v>
      </c>
      <c r="E12" s="9">
        <f>$Q$3*E11+$Q$3*Test_Seasonality!E15</f>
        <v>51.608529269304128</v>
      </c>
      <c r="F12" s="9">
        <f>$Q$3*F11+$Q$3*Test_Seasonality!F15</f>
        <v>55.41736235074201</v>
      </c>
      <c r="G12" s="9">
        <f>$Q$3*G11+$Q$3*Test_Seasonality!G15</f>
        <v>49.146952132439552</v>
      </c>
      <c r="H12" s="9">
        <f>$Q$3*H11+$Q$3*Test_Seasonality!H15</f>
        <v>48.951526178888741</v>
      </c>
      <c r="I12" s="9">
        <f>$Q$3*I11+$Q$3*Test_Seasonality!I15</f>
        <v>50.659499486076498</v>
      </c>
      <c r="J12" s="9">
        <f>$Q$3*J11+$Q$3*Test_Seasonality!J15</f>
        <v>48.583189220902071</v>
      </c>
      <c r="K12" s="9">
        <f>$Q$3*K11+$Q$3*Test_Seasonality!K15</f>
        <v>51.497063229775549</v>
      </c>
      <c r="L12" s="9">
        <f>$Q$3*L11+$Q$3*Test_Seasonality!L15</f>
        <v>51.308616895720647</v>
      </c>
      <c r="M12" s="9">
        <f>$Q$3*M11+$Q$3*Test_Seasonality!M15</f>
        <v>52.739737490768455</v>
      </c>
      <c r="N12" s="9">
        <f>$Q$3*N11+$Q$3*Test_Seasonality!N15</f>
        <v>52.471304026300231</v>
      </c>
      <c r="P12" s="9">
        <f t="shared" si="14"/>
        <v>50.593143869570206</v>
      </c>
      <c r="Q12" s="9">
        <f t="shared" si="13"/>
        <v>1.8768464065807806</v>
      </c>
      <c r="S12" s="134" t="s">
        <v>65</v>
      </c>
      <c r="T12" s="9">
        <f t="shared" si="1"/>
        <v>55.077703994639499</v>
      </c>
      <c r="U12" s="9">
        <f t="shared" si="2"/>
        <v>55.551915121454947</v>
      </c>
      <c r="V12" s="9">
        <f t="shared" si="3"/>
        <v>55.230393917067616</v>
      </c>
      <c r="W12" s="9">
        <f t="shared" si="4"/>
        <v>57.954574522034477</v>
      </c>
      <c r="X12" s="9">
        <f t="shared" si="5"/>
        <v>53.144070154714086</v>
      </c>
      <c r="Y12" s="9">
        <f t="shared" si="6"/>
        <v>52.032492324621302</v>
      </c>
      <c r="Z12" s="9">
        <f t="shared" si="7"/>
        <v>54.530498650052493</v>
      </c>
      <c r="AA12" s="9">
        <f t="shared" si="8"/>
        <v>52.724271332273261</v>
      </c>
      <c r="AB12" s="9">
        <f t="shared" si="9"/>
        <v>55.007174610397065</v>
      </c>
      <c r="AC12" s="9">
        <f t="shared" si="10"/>
        <v>54.875671617575591</v>
      </c>
      <c r="AD12" s="9">
        <f t="shared" si="11"/>
        <v>55.394136535000541</v>
      </c>
      <c r="AE12" s="9">
        <f t="shared" si="12"/>
        <v>54.701205968556067</v>
      </c>
    </row>
    <row r="13" spans="2:31" x14ac:dyDescent="0.2">
      <c r="B13" s="134" t="s">
        <v>66</v>
      </c>
      <c r="C13" s="9">
        <f>$Q$3*C12+$Q$3*Test_Seasonality!C16</f>
        <v>50.555476676937147</v>
      </c>
      <c r="D13" s="9">
        <f>$Q$3*D12+$Q$3*Test_Seasonality!D16</f>
        <v>49.130666535683247</v>
      </c>
      <c r="E13" s="9">
        <f>$Q$3*E12+$Q$3*Test_Seasonality!E16</f>
        <v>40.105182486610268</v>
      </c>
      <c r="F13" s="9">
        <f>$Q$3*F12+$Q$3*Test_Seasonality!F16</f>
        <v>42.623883975591127</v>
      </c>
      <c r="G13" s="9">
        <f>$Q$3*G12+$Q$3*Test_Seasonality!G16</f>
        <v>41.265184035933608</v>
      </c>
      <c r="H13" s="9">
        <f>$Q$3*H12+$Q$3*Test_Seasonality!H16</f>
        <v>42.742581620078703</v>
      </c>
      <c r="I13" s="9">
        <f>$Q$3*I12+$Q$3*Test_Seasonality!I16</f>
        <v>42.974728289492177</v>
      </c>
      <c r="J13" s="9">
        <f>$Q$3*J12+$Q$3*Test_Seasonality!J16</f>
        <v>43.179358616075262</v>
      </c>
      <c r="K13" s="9">
        <f>$Q$3*K12+$Q$3*Test_Seasonality!K16</f>
        <v>41.807623351173227</v>
      </c>
      <c r="L13" s="9">
        <f>$Q$3*L12+$Q$3*Test_Seasonality!L16</f>
        <v>41.139302904440797</v>
      </c>
      <c r="M13" s="9">
        <f>$Q$3*M12+$Q$3*Test_Seasonality!M16</f>
        <v>48.515265934070527</v>
      </c>
      <c r="N13" s="9">
        <f>$Q$3*N12+$Q$3*Test_Seasonality!N16</f>
        <v>48.445094010931584</v>
      </c>
      <c r="P13" s="9">
        <f t="shared" si="14"/>
        <v>46.204585963600692</v>
      </c>
      <c r="Q13" s="9">
        <f t="shared" si="13"/>
        <v>-0.69622802461011291</v>
      </c>
      <c r="S13" s="134" t="s">
        <v>67</v>
      </c>
      <c r="T13" s="9">
        <f t="shared" si="1"/>
        <v>53.5454592824222</v>
      </c>
      <c r="U13" s="9">
        <f t="shared" si="2"/>
        <v>53.063600642003351</v>
      </c>
      <c r="V13" s="9">
        <f t="shared" si="3"/>
        <v>48.325603679024319</v>
      </c>
      <c r="W13" s="9">
        <f t="shared" si="4"/>
        <v>50.983220612446416</v>
      </c>
      <c r="X13" s="9">
        <f t="shared" si="5"/>
        <v>47.856050949239318</v>
      </c>
      <c r="Y13" s="9">
        <f t="shared" si="6"/>
        <v>48.041484982568434</v>
      </c>
      <c r="Z13" s="9">
        <f t="shared" si="7"/>
        <v>49.425399535655195</v>
      </c>
      <c r="AA13" s="9">
        <f t="shared" si="8"/>
        <v>48.613550020817868</v>
      </c>
      <c r="AB13" s="9">
        <f t="shared" si="9"/>
        <v>49.075421086719984</v>
      </c>
      <c r="AC13" s="9">
        <f t="shared" si="10"/>
        <v>48.669990585210108</v>
      </c>
      <c r="AD13" s="9">
        <f t="shared" si="11"/>
        <v>52.671676111572125</v>
      </c>
      <c r="AE13" s="9">
        <f t="shared" si="12"/>
        <v>52.284859459602295</v>
      </c>
    </row>
    <row r="14" spans="2:31" x14ac:dyDescent="0.2">
      <c r="B14" s="134" t="s">
        <v>68</v>
      </c>
      <c r="C14" s="9">
        <f>$Q$3*C13+$Q$3*Test_Seasonality!C17</f>
        <v>45.791053127539442</v>
      </c>
      <c r="D14" s="9">
        <f>$Q$3*D13+$Q$3*Test_Seasonality!D17</f>
        <v>49.894504866937837</v>
      </c>
      <c r="E14" s="9">
        <f>$Q$3*E13+$Q$3*Test_Seasonality!E17</f>
        <v>46.627289002462746</v>
      </c>
      <c r="F14" s="9">
        <f>$Q$3*F13+$Q$3*Test_Seasonality!F17</f>
        <v>48.669437787227146</v>
      </c>
      <c r="G14" s="9">
        <f>$Q$3*G13+$Q$3*Test_Seasonality!G17</f>
        <v>49.227686787814747</v>
      </c>
      <c r="H14" s="9">
        <f>$Q$3*H13+$Q$3*Test_Seasonality!H17</f>
        <v>48.466017623217894</v>
      </c>
      <c r="I14" s="9">
        <f>$Q$3*I13+$Q$3*Test_Seasonality!I17</f>
        <v>47.863894769943585</v>
      </c>
      <c r="J14" s="9">
        <f>$Q$3*J13+$Q$3*Test_Seasonality!J17</f>
        <v>49.108146882488555</v>
      </c>
      <c r="K14" s="9">
        <f>$Q$3*K13+$Q$3*Test_Seasonality!K17</f>
        <v>49.294820276709714</v>
      </c>
      <c r="L14" s="9">
        <f>$Q$3*L13+$Q$3*Test_Seasonality!L17</f>
        <v>50.20302264226104</v>
      </c>
      <c r="M14" s="9">
        <f>$Q$3*M13+$Q$3*Test_Seasonality!M17</f>
        <v>52.512440301980348</v>
      </c>
      <c r="N14" s="9">
        <f>$Q$3*N13+$Q$3*Test_Seasonality!N17</f>
        <v>55.376338154141223</v>
      </c>
      <c r="P14" s="9">
        <f t="shared" si="14"/>
        <v>56.165447272026171</v>
      </c>
      <c r="Q14" s="9">
        <f t="shared" si="13"/>
        <v>2.4699328113304486</v>
      </c>
      <c r="S14" s="134" t="s">
        <v>69</v>
      </c>
      <c r="T14" s="137">
        <f t="shared" si="1"/>
        <v>50.35367814060956</v>
      </c>
      <c r="U14" s="137">
        <f t="shared" si="2"/>
        <v>52.189463682482284</v>
      </c>
      <c r="V14" s="137">
        <f t="shared" si="3"/>
        <v>48.131621300245797</v>
      </c>
      <c r="W14" s="137">
        <f t="shared" si="4"/>
        <v>50.513932542794535</v>
      </c>
      <c r="X14" s="137">
        <f t="shared" si="5"/>
        <v>49.211746658912709</v>
      </c>
      <c r="Y14" s="137">
        <f t="shared" si="6"/>
        <v>48.919653070873089</v>
      </c>
      <c r="Z14" s="137">
        <f t="shared" si="7"/>
        <v>49.31594328350802</v>
      </c>
      <c r="AA14" s="137">
        <f t="shared" si="8"/>
        <v>49.535128160286028</v>
      </c>
      <c r="AB14" s="137">
        <f t="shared" si="9"/>
        <v>49.863875347122516</v>
      </c>
      <c r="AC14" s="137">
        <f t="shared" si="10"/>
        <v>50.118730405005124</v>
      </c>
      <c r="AD14" s="137">
        <f t="shared" si="11"/>
        <v>53.31782861002975</v>
      </c>
      <c r="AE14" s="137">
        <f t="shared" si="12"/>
        <v>54.573461070406594</v>
      </c>
    </row>
    <row r="15" spans="2:31" x14ac:dyDescent="0.2">
      <c r="B15" s="134" t="s">
        <v>70</v>
      </c>
      <c r="C15" s="9">
        <f>$Q$3*C14+$Q$3*Test_Seasonality!C18</f>
        <v>55.141882673267617</v>
      </c>
      <c r="D15" s="9">
        <f>$Q$3*D14+$Q$3*Test_Seasonality!D18</f>
        <v>51.908746958914833</v>
      </c>
      <c r="E15" s="9">
        <f>$Q$3*E14+$Q$3*Test_Seasonality!E18</f>
        <v>49.961410243924426</v>
      </c>
      <c r="F15" s="9">
        <f>$Q$3*F14+$Q$3*Test_Seasonality!F18</f>
        <v>49.863343735343932</v>
      </c>
      <c r="G15" s="9">
        <f>$Q$3*G14+$Q$3*Test_Seasonality!G18</f>
        <v>51.865142584286161</v>
      </c>
      <c r="H15" s="9">
        <f>$Q$3*H14+$Q$3*Test_Seasonality!H18</f>
        <v>47.568902143725111</v>
      </c>
      <c r="I15" s="9">
        <f>$Q$3*I14+$Q$3*Test_Seasonality!I18</f>
        <v>47.587971459836574</v>
      </c>
      <c r="J15" s="9">
        <f>$Q$3*J14+$Q$3*Test_Seasonality!J18</f>
        <v>48.45311067322092</v>
      </c>
      <c r="K15" s="9">
        <f>$Q$3*K14+$Q$3*Test_Seasonality!K18</f>
        <v>47.087121363504394</v>
      </c>
      <c r="L15" s="9">
        <f>$Q$3*L14+$Q$3*Test_Seasonality!L18</f>
        <v>49.532171006947188</v>
      </c>
      <c r="M15" s="9">
        <f>$Q$3*M14+$Q$3*Test_Seasonality!M18</f>
        <v>53.692139289106287</v>
      </c>
      <c r="N15" s="9">
        <f>$Q$3*N14+$Q$3*Test_Seasonality!N18</f>
        <v>55.062750069851575</v>
      </c>
      <c r="P15" s="9">
        <f t="shared" si="14"/>
        <v>65.062422564393387</v>
      </c>
      <c r="Q15" s="9">
        <f t="shared" si="13"/>
        <v>4.1639005071878437</v>
      </c>
      <c r="S15" s="134" t="s">
        <v>71</v>
      </c>
      <c r="T15" s="144">
        <f t="shared" si="1"/>
        <v>53.475699776554336</v>
      </c>
      <c r="U15" s="144">
        <f t="shared" si="2"/>
        <v>52.767382974124203</v>
      </c>
      <c r="V15" s="144">
        <f t="shared" si="3"/>
        <v>49.723357689739885</v>
      </c>
      <c r="W15" s="144">
        <f t="shared" si="4"/>
        <v>50.881241345388389</v>
      </c>
      <c r="X15" s="144">
        <f t="shared" si="5"/>
        <v>51.235875157377507</v>
      </c>
      <c r="Y15" s="144">
        <f t="shared" si="6"/>
        <v>48.910048638279832</v>
      </c>
      <c r="Z15" s="144">
        <f t="shared" si="7"/>
        <v>49.120594383401375</v>
      </c>
      <c r="AA15" s="144">
        <f t="shared" si="8"/>
        <v>49.670238264704679</v>
      </c>
      <c r="AB15" s="144">
        <f t="shared" si="9"/>
        <v>49.14446023261678</v>
      </c>
      <c r="AC15" s="144">
        <f t="shared" si="10"/>
        <v>50.513041925718625</v>
      </c>
      <c r="AD15" s="144">
        <f t="shared" si="11"/>
        <v>54.243352728072054</v>
      </c>
      <c r="AE15" s="144">
        <f t="shared" si="12"/>
        <v>55.574595426996865</v>
      </c>
    </row>
    <row r="16" spans="2:31" x14ac:dyDescent="0.2">
      <c r="P16" s="9">
        <f t="shared" si="14"/>
        <v>48.311527320953878</v>
      </c>
      <c r="Q16" s="9">
        <f t="shared" si="13"/>
        <v>-3.4777681564502552</v>
      </c>
    </row>
    <row r="17" spans="2:31" x14ac:dyDescent="0.2">
      <c r="P17" s="9">
        <f t="shared" si="14"/>
        <v>47.565494071452093</v>
      </c>
      <c r="Q17" s="9">
        <f t="shared" si="13"/>
        <v>-3.0736608856628953</v>
      </c>
    </row>
    <row r="18" spans="2:31" x14ac:dyDescent="0.2">
      <c r="P18" s="9">
        <f t="shared" si="14"/>
        <v>41.228428114469324</v>
      </c>
      <c r="Q18" s="9">
        <f t="shared" si="13"/>
        <v>-4.6903155934399576</v>
      </c>
      <c r="T18" s="159" t="s">
        <v>2</v>
      </c>
      <c r="U18" s="159" t="s">
        <v>3</v>
      </c>
      <c r="V18" s="159" t="s">
        <v>4</v>
      </c>
      <c r="W18" s="159" t="s">
        <v>5</v>
      </c>
      <c r="X18" s="159" t="s">
        <v>6</v>
      </c>
      <c r="Y18" s="159" t="s">
        <v>7</v>
      </c>
      <c r="Z18" s="159" t="s">
        <v>8</v>
      </c>
      <c r="AA18" s="159" t="s">
        <v>9</v>
      </c>
      <c r="AB18" s="159" t="s">
        <v>10</v>
      </c>
      <c r="AC18" s="159" t="s">
        <v>11</v>
      </c>
      <c r="AD18" s="159" t="s">
        <v>12</v>
      </c>
      <c r="AE18" s="159" t="s">
        <v>13</v>
      </c>
    </row>
    <row r="19" spans="2:31" x14ac:dyDescent="0.2">
      <c r="C19" s="158" t="s">
        <v>2</v>
      </c>
      <c r="D19" s="158" t="s">
        <v>3</v>
      </c>
      <c r="E19" s="158" t="s">
        <v>4</v>
      </c>
      <c r="F19" s="158" t="s">
        <v>5</v>
      </c>
      <c r="G19" s="158" t="s">
        <v>6</v>
      </c>
      <c r="H19" s="158" t="s">
        <v>7</v>
      </c>
      <c r="I19" s="158" t="s">
        <v>8</v>
      </c>
      <c r="J19" s="158" t="s">
        <v>9</v>
      </c>
      <c r="K19" s="158" t="s">
        <v>10</v>
      </c>
      <c r="L19" s="158" t="s">
        <v>11</v>
      </c>
      <c r="M19" s="158" t="s">
        <v>12</v>
      </c>
      <c r="N19" s="158" t="s">
        <v>13</v>
      </c>
      <c r="S19" s="141" t="s">
        <v>81</v>
      </c>
      <c r="T19" s="146">
        <f>C30+C46</f>
        <v>36.538112521029369</v>
      </c>
      <c r="U19" s="146">
        <f t="shared" ref="U19:AE19" si="15">D30+D46</f>
        <v>45.240360037198542</v>
      </c>
      <c r="V19" s="146">
        <f t="shared" si="15"/>
        <v>43.57652384776177</v>
      </c>
      <c r="W19" s="146">
        <f t="shared" si="15"/>
        <v>44.928827859083995</v>
      </c>
      <c r="X19" s="146">
        <f t="shared" si="15"/>
        <v>49.26001314940882</v>
      </c>
      <c r="Y19" s="146">
        <f t="shared" si="15"/>
        <v>47.546051191144898</v>
      </c>
      <c r="Z19" s="146">
        <f t="shared" si="15"/>
        <v>44.919160408628571</v>
      </c>
      <c r="AA19" s="146">
        <f t="shared" si="15"/>
        <v>48.242234739317851</v>
      </c>
      <c r="AB19" s="146">
        <f t="shared" si="15"/>
        <v>48.140784441356232</v>
      </c>
      <c r="AC19" s="146">
        <f t="shared" si="15"/>
        <v>50.373966137000274</v>
      </c>
      <c r="AD19" s="146">
        <f t="shared" si="15"/>
        <v>50.879123919807562</v>
      </c>
      <c r="AE19" s="146">
        <f t="shared" si="15"/>
        <v>57.004561808034204</v>
      </c>
    </row>
    <row r="20" spans="2:31" x14ac:dyDescent="0.2">
      <c r="B20" s="143" t="s">
        <v>82</v>
      </c>
      <c r="C20" s="9">
        <f>2*C4-T4</f>
        <v>32.369999999999997</v>
      </c>
      <c r="D20" s="9">
        <f t="shared" ref="D20:N20" si="16">2*D4-U4</f>
        <v>36.6</v>
      </c>
      <c r="E20" s="9">
        <f t="shared" si="16"/>
        <v>35.58</v>
      </c>
      <c r="F20" s="9">
        <f t="shared" si="16"/>
        <v>30.35</v>
      </c>
      <c r="G20" s="9">
        <f t="shared" si="16"/>
        <v>25.73</v>
      </c>
      <c r="H20" s="9">
        <f t="shared" si="16"/>
        <v>30.33</v>
      </c>
      <c r="I20" s="9">
        <f t="shared" si="16"/>
        <v>30.17</v>
      </c>
      <c r="J20" s="9">
        <f t="shared" si="16"/>
        <v>34.6</v>
      </c>
      <c r="K20" s="9">
        <f t="shared" si="16"/>
        <v>36.979999999999997</v>
      </c>
      <c r="L20" s="9">
        <f t="shared" si="16"/>
        <v>38.81</v>
      </c>
      <c r="M20" s="9">
        <f t="shared" si="16"/>
        <v>42.94</v>
      </c>
      <c r="N20" s="9">
        <f t="shared" si="16"/>
        <v>42.6</v>
      </c>
      <c r="S20" s="160">
        <v>2022</v>
      </c>
      <c r="T20" s="10">
        <f>EXP(Test_Seasonality!C3)</f>
        <v>62.991512809070571</v>
      </c>
      <c r="U20" s="10">
        <f>EXP(Test_Seasonality!D3)</f>
        <v>52.509809512456187</v>
      </c>
      <c r="V20" s="10">
        <f>EXP(Test_Seasonality!E3)</f>
        <v>51.935366834831441</v>
      </c>
      <c r="W20" s="10">
        <f>EXP(Test_Seasonality!F3)</f>
        <v>49.699754825406366</v>
      </c>
      <c r="X20" s="10">
        <f>EXP(Test_Seasonality!G3)</f>
        <v>53.090605941098566</v>
      </c>
      <c r="Y20" s="10">
        <f>EXP(Test_Seasonality!H3)</f>
        <v>45.376756382947249</v>
      </c>
      <c r="Z20" s="10">
        <f>EXP(Test_Seasonality!I3)</f>
        <v>46.016498719574216</v>
      </c>
      <c r="AA20" s="10">
        <f>EXP(Test_Seasonality!J3)</f>
        <v>46.478972220334327</v>
      </c>
      <c r="AB20" s="10">
        <f>EXP(Test_Seasonality!K3)</f>
        <v>43.597508315723488</v>
      </c>
      <c r="AC20" s="10">
        <f>EXP(Test_Seasonality!L3)</f>
        <v>47.512840460810942</v>
      </c>
      <c r="AD20" s="10">
        <f>EXP(Test_Seasonality!M3)</f>
        <v>53.410107121784264</v>
      </c>
      <c r="AE20" s="10">
        <f>EXP(Test_Seasonality!N3)</f>
        <v>53.250116905735624</v>
      </c>
    </row>
    <row r="21" spans="2:31" x14ac:dyDescent="0.2">
      <c r="B21" s="143" t="s">
        <v>83</v>
      </c>
      <c r="C21" s="9">
        <f t="shared" ref="C21:C31" si="17">2*C5-T5</f>
        <v>32.590270728599997</v>
      </c>
      <c r="D21" s="9">
        <f t="shared" ref="D21:D31" si="18">2*D5-U5</f>
        <v>36.849054948000003</v>
      </c>
      <c r="E21" s="9">
        <f t="shared" ref="E21:E31" si="19">2*E5-V5</f>
        <v>35.822114072399998</v>
      </c>
      <c r="F21" s="9">
        <f t="shared" ref="F21:F31" si="20">2*F5-W5</f>
        <v>30.556525073000003</v>
      </c>
      <c r="G21" s="9">
        <f t="shared" ref="G21:G31" si="21">2*G5-X5</f>
        <v>25.905086989400004</v>
      </c>
      <c r="H21" s="9">
        <f t="shared" ref="H21:H31" si="22">2*H5-Y5</f>
        <v>30.536388977399998</v>
      </c>
      <c r="I21" s="9">
        <f t="shared" ref="I21:I31" si="23">2*I5-Z5</f>
        <v>30.375300212600003</v>
      </c>
      <c r="J21" s="9">
        <f t="shared" ref="J21:J31" si="24">2*J5-AA5</f>
        <v>34.835445387999997</v>
      </c>
      <c r="K21" s="9">
        <f t="shared" ref="K21:K31" si="25">2*K5-AB5</f>
        <v>37.231640764399998</v>
      </c>
      <c r="L21" s="9">
        <f t="shared" ref="L21:L31" si="26">2*L5-AC5</f>
        <v>39.074093511800001</v>
      </c>
      <c r="M21" s="9">
        <f t="shared" ref="M21:M31" si="27">2*M5-AD5</f>
        <v>43.232197253199999</v>
      </c>
      <c r="N21" s="9">
        <f t="shared" ref="N21:N31" si="28">2*N5-AE5</f>
        <v>42.889883628</v>
      </c>
      <c r="S21" s="161" t="s">
        <v>72</v>
      </c>
      <c r="T21" s="146">
        <v>60.796660000000003</v>
      </c>
      <c r="U21" s="146">
        <v>61.302819999999997</v>
      </c>
      <c r="V21" s="146">
        <v>56.917319999999997</v>
      </c>
      <c r="W21" s="146">
        <v>57.68235</v>
      </c>
      <c r="X21" s="146">
        <v>56.973739999999999</v>
      </c>
      <c r="Y21" s="146">
        <v>55.396619999999999</v>
      </c>
      <c r="Z21" s="146">
        <v>55.86018</v>
      </c>
      <c r="AA21" s="146">
        <v>56.95194</v>
      </c>
      <c r="AB21" s="146">
        <v>59.218510000000002</v>
      </c>
      <c r="AC21" s="146">
        <v>61.477449999999997</v>
      </c>
      <c r="AD21" s="146">
        <v>64.712389999999999</v>
      </c>
      <c r="AE21" s="146">
        <v>65.103970000000004</v>
      </c>
    </row>
    <row r="22" spans="2:31" x14ac:dyDescent="0.2">
      <c r="B22" s="143" t="s">
        <v>84</v>
      </c>
      <c r="C22" s="9">
        <f t="shared" si="17"/>
        <v>43.061982999454685</v>
      </c>
      <c r="D22" s="9">
        <f t="shared" si="18"/>
        <v>41.765062337282401</v>
      </c>
      <c r="E22" s="9">
        <f t="shared" si="19"/>
        <v>39.194241050799121</v>
      </c>
      <c r="F22" s="9">
        <f t="shared" si="20"/>
        <v>39.605549849407403</v>
      </c>
      <c r="G22" s="9">
        <f t="shared" si="21"/>
        <v>40.736910012653723</v>
      </c>
      <c r="H22" s="9">
        <f t="shared" si="22"/>
        <v>39.343222919688117</v>
      </c>
      <c r="I22" s="9">
        <f t="shared" si="23"/>
        <v>44.343882900133877</v>
      </c>
      <c r="J22" s="9">
        <f t="shared" si="24"/>
        <v>44.519815902354395</v>
      </c>
      <c r="K22" s="9">
        <f t="shared" si="25"/>
        <v>47.08228905354872</v>
      </c>
      <c r="L22" s="9">
        <f t="shared" si="26"/>
        <v>50.975635120562842</v>
      </c>
      <c r="M22" s="9">
        <f t="shared" si="27"/>
        <v>52.544905002594149</v>
      </c>
      <c r="N22" s="9">
        <f t="shared" si="28"/>
        <v>53.557389977066407</v>
      </c>
      <c r="S22" s="162" t="s">
        <v>85</v>
      </c>
      <c r="T22" s="9">
        <f t="shared" ref="T22:AE22" si="29">T20-T19</f>
        <v>26.453400288041202</v>
      </c>
      <c r="U22" s="9">
        <f t="shared" si="29"/>
        <v>7.2694494752576446</v>
      </c>
      <c r="V22" s="9">
        <f t="shared" si="29"/>
        <v>8.3588429870696714</v>
      </c>
      <c r="W22" s="9">
        <f t="shared" si="29"/>
        <v>4.7709269663223708</v>
      </c>
      <c r="X22" s="9">
        <f t="shared" si="29"/>
        <v>3.830592791689746</v>
      </c>
      <c r="Y22" s="9">
        <f t="shared" si="29"/>
        <v>-2.1692948081976482</v>
      </c>
      <c r="Z22" s="9">
        <f t="shared" si="29"/>
        <v>1.0973383109456449</v>
      </c>
      <c r="AA22" s="9">
        <f t="shared" si="29"/>
        <v>-1.7632625189835238</v>
      </c>
      <c r="AB22" s="9">
        <f t="shared" si="29"/>
        <v>-4.5432761256327439</v>
      </c>
      <c r="AC22" s="9">
        <f t="shared" si="29"/>
        <v>-2.8611256761893316</v>
      </c>
      <c r="AD22" s="9">
        <f t="shared" si="29"/>
        <v>2.5309832019767029</v>
      </c>
      <c r="AE22" s="9">
        <f t="shared" si="29"/>
        <v>-3.7544449022985802</v>
      </c>
    </row>
    <row r="23" spans="2:31" x14ac:dyDescent="0.2">
      <c r="B23" s="143" t="s">
        <v>86</v>
      </c>
      <c r="C23" s="9">
        <f t="shared" si="17"/>
        <v>55.016317881180427</v>
      </c>
      <c r="D23" s="9">
        <f t="shared" si="18"/>
        <v>55.756976820889619</v>
      </c>
      <c r="E23" s="9">
        <f t="shared" si="19"/>
        <v>52.330515688549596</v>
      </c>
      <c r="F23" s="9">
        <f t="shared" si="20"/>
        <v>51.511056414616789</v>
      </c>
      <c r="G23" s="9">
        <f t="shared" si="21"/>
        <v>50.227466133759904</v>
      </c>
      <c r="H23" s="9">
        <f t="shared" si="22"/>
        <v>47.966192247406546</v>
      </c>
      <c r="I23" s="9">
        <f t="shared" si="23"/>
        <v>49.624436447895661</v>
      </c>
      <c r="J23" s="9">
        <f t="shared" si="24"/>
        <v>50.726884344074762</v>
      </c>
      <c r="K23" s="9">
        <f t="shared" si="25"/>
        <v>52.220570054496534</v>
      </c>
      <c r="L23" s="9">
        <f t="shared" si="26"/>
        <v>51.559837480253094</v>
      </c>
      <c r="M23" s="9">
        <f t="shared" si="27"/>
        <v>52.792213255771657</v>
      </c>
      <c r="N23" s="9">
        <f t="shared" si="28"/>
        <v>51.450992720357185</v>
      </c>
    </row>
    <row r="24" spans="2:31" x14ac:dyDescent="0.2">
      <c r="B24" s="143" t="s">
        <v>87</v>
      </c>
      <c r="C24" s="9">
        <f t="shared" si="17"/>
        <v>50.593143869570206</v>
      </c>
      <c r="D24" s="9">
        <f t="shared" si="18"/>
        <v>54.650234080952167</v>
      </c>
      <c r="E24" s="9">
        <f t="shared" si="19"/>
        <v>57.023956575784851</v>
      </c>
      <c r="F24" s="9">
        <f t="shared" si="20"/>
        <v>56.955236153997411</v>
      </c>
      <c r="G24" s="9">
        <f t="shared" si="21"/>
        <v>55.628457831169356</v>
      </c>
      <c r="H24" s="9">
        <f t="shared" si="22"/>
        <v>54.044166321209673</v>
      </c>
      <c r="I24" s="9">
        <f t="shared" si="23"/>
        <v>58.366300802467357</v>
      </c>
      <c r="J24" s="9">
        <f t="shared" si="24"/>
        <v>56.184230303273033</v>
      </c>
      <c r="K24" s="9">
        <f t="shared" si="25"/>
        <v>53.558231700610079</v>
      </c>
      <c r="L24" s="9">
        <f t="shared" si="26"/>
        <v>55.23025236561989</v>
      </c>
      <c r="M24" s="9">
        <f t="shared" si="27"/>
        <v>55.990008100307691</v>
      </c>
      <c r="N24" s="9">
        <f t="shared" si="28"/>
        <v>52.572233479452947</v>
      </c>
      <c r="P24" s="163" t="s">
        <v>73</v>
      </c>
      <c r="Q24" s="9">
        <f>SQRT(SUMSQ(T22:AE22)/COUNT(T22:AE22))</f>
        <v>8.7477660978629572</v>
      </c>
    </row>
    <row r="25" spans="2:31" x14ac:dyDescent="0.2">
      <c r="B25" s="143" t="s">
        <v>88</v>
      </c>
      <c r="C25" s="9">
        <f t="shared" si="17"/>
        <v>46.204585963600692</v>
      </c>
      <c r="D25" s="9">
        <f t="shared" si="18"/>
        <v>46.848497184316329</v>
      </c>
      <c r="E25" s="9">
        <f t="shared" si="19"/>
        <v>48.769214854590366</v>
      </c>
      <c r="F25" s="9">
        <f t="shared" si="20"/>
        <v>50.498183875411627</v>
      </c>
      <c r="G25" s="9">
        <f t="shared" si="21"/>
        <v>52.92301366161395</v>
      </c>
      <c r="H25" s="9">
        <f t="shared" si="22"/>
        <v>44.730202221070719</v>
      </c>
      <c r="I25" s="9">
        <f t="shared" si="23"/>
        <v>49.508153408957725</v>
      </c>
      <c r="J25" s="9">
        <f t="shared" si="24"/>
        <v>49.505589084501779</v>
      </c>
      <c r="K25" s="9">
        <f t="shared" si="25"/>
        <v>48.561575278838049</v>
      </c>
      <c r="L25" s="9">
        <f t="shared" si="26"/>
        <v>54.338483266126005</v>
      </c>
      <c r="M25" s="9">
        <f t="shared" si="27"/>
        <v>55.823550319411083</v>
      </c>
      <c r="N25" s="9">
        <f t="shared" si="28"/>
        <v>59.117445039846217</v>
      </c>
    </row>
    <row r="26" spans="2:31" x14ac:dyDescent="0.2">
      <c r="B26" s="143" t="s">
        <v>89</v>
      </c>
      <c r="C26" s="9">
        <f t="shared" si="17"/>
        <v>56.165447272026171</v>
      </c>
      <c r="D26" s="9">
        <f t="shared" si="18"/>
        <v>53.057831641418687</v>
      </c>
      <c r="E26" s="9">
        <f t="shared" si="19"/>
        <v>59.310769791792012</v>
      </c>
      <c r="F26" s="9">
        <f t="shared" si="20"/>
        <v>61.826929857537081</v>
      </c>
      <c r="G26" s="9">
        <f t="shared" si="21"/>
        <v>61.33379295503947</v>
      </c>
      <c r="H26" s="9">
        <f t="shared" si="22"/>
        <v>58.755597407244181</v>
      </c>
      <c r="I26" s="9">
        <f t="shared" si="23"/>
        <v>62.029842635566268</v>
      </c>
      <c r="J26" s="9">
        <f t="shared" si="24"/>
        <v>60.681608206752315</v>
      </c>
      <c r="K26" s="9">
        <f t="shared" si="25"/>
        <v>63.604256784488015</v>
      </c>
      <c r="L26" s="9">
        <f t="shared" si="26"/>
        <v>64.482233790955661</v>
      </c>
      <c r="M26" s="9">
        <f t="shared" si="27"/>
        <v>62.17691135316425</v>
      </c>
      <c r="N26" s="9">
        <f t="shared" si="28"/>
        <v>62.434809601488681</v>
      </c>
    </row>
    <row r="27" spans="2:31" x14ac:dyDescent="0.2">
      <c r="B27" s="143" t="s">
        <v>90</v>
      </c>
      <c r="C27" s="9">
        <f t="shared" si="17"/>
        <v>65.062422564393387</v>
      </c>
      <c r="D27" s="9">
        <f t="shared" si="18"/>
        <v>62.934940018468453</v>
      </c>
      <c r="E27" s="9">
        <f t="shared" si="19"/>
        <v>61.05545493815525</v>
      </c>
      <c r="F27" s="9">
        <f t="shared" si="20"/>
        <v>64.838037394043525</v>
      </c>
      <c r="G27" s="9">
        <f t="shared" si="21"/>
        <v>56.457447516469969</v>
      </c>
      <c r="H27" s="9">
        <f t="shared" si="22"/>
        <v>55.923852146843338</v>
      </c>
      <c r="I27" s="9">
        <f t="shared" si="23"/>
        <v>58.602715745892048</v>
      </c>
      <c r="J27" s="9">
        <f t="shared" si="24"/>
        <v>54.257497979100677</v>
      </c>
      <c r="K27" s="9">
        <f t="shared" si="25"/>
        <v>56.82455553428143</v>
      </c>
      <c r="L27" s="9">
        <f t="shared" si="26"/>
        <v>51.872010412914776</v>
      </c>
      <c r="M27" s="9">
        <f t="shared" si="27"/>
        <v>49.606875874150518</v>
      </c>
      <c r="N27" s="9">
        <f t="shared" si="28"/>
        <v>45.986320960694371</v>
      </c>
    </row>
    <row r="28" spans="2:31" x14ac:dyDescent="0.2">
      <c r="B28" s="143" t="s">
        <v>91</v>
      </c>
      <c r="C28" s="9">
        <f t="shared" si="17"/>
        <v>48.311527320953878</v>
      </c>
      <c r="D28" s="9">
        <f t="shared" si="18"/>
        <v>50.69565455967841</v>
      </c>
      <c r="E28" s="9">
        <f t="shared" si="19"/>
        <v>47.98666462154064</v>
      </c>
      <c r="F28" s="9">
        <f t="shared" si="20"/>
        <v>52.880150179449544</v>
      </c>
      <c r="G28" s="9">
        <f t="shared" si="21"/>
        <v>45.149834110165017</v>
      </c>
      <c r="H28" s="9">
        <f t="shared" si="22"/>
        <v>45.870560033156181</v>
      </c>
      <c r="I28" s="9">
        <f t="shared" si="23"/>
        <v>46.788500322100504</v>
      </c>
      <c r="J28" s="9">
        <f t="shared" si="24"/>
        <v>44.44210710953088</v>
      </c>
      <c r="K28" s="9">
        <f t="shared" si="25"/>
        <v>47.986951849154032</v>
      </c>
      <c r="L28" s="9">
        <f t="shared" si="26"/>
        <v>47.741562173865702</v>
      </c>
      <c r="M28" s="9">
        <f t="shared" si="27"/>
        <v>50.085338446536369</v>
      </c>
      <c r="N28" s="9">
        <f t="shared" si="28"/>
        <v>50.241402084044395</v>
      </c>
    </row>
    <row r="29" spans="2:31" x14ac:dyDescent="0.2">
      <c r="B29" s="143" t="s">
        <v>92</v>
      </c>
      <c r="C29" s="9">
        <f t="shared" si="17"/>
        <v>47.565494071452093</v>
      </c>
      <c r="D29" s="9">
        <f t="shared" si="18"/>
        <v>45.197732429363143</v>
      </c>
      <c r="E29" s="9">
        <f t="shared" si="19"/>
        <v>31.884761294196217</v>
      </c>
      <c r="F29" s="9">
        <f t="shared" si="20"/>
        <v>34.264547338735838</v>
      </c>
      <c r="G29" s="9">
        <f t="shared" si="21"/>
        <v>34.674317122627897</v>
      </c>
      <c r="H29" s="9">
        <f t="shared" si="22"/>
        <v>37.443678257588971</v>
      </c>
      <c r="I29" s="9">
        <f t="shared" si="23"/>
        <v>36.524057043329158</v>
      </c>
      <c r="J29" s="9">
        <f t="shared" si="24"/>
        <v>37.745167211332657</v>
      </c>
      <c r="K29" s="9">
        <f t="shared" si="25"/>
        <v>34.539825615626469</v>
      </c>
      <c r="L29" s="9">
        <f t="shared" si="26"/>
        <v>33.608615223671485</v>
      </c>
      <c r="M29" s="9">
        <f t="shared" si="27"/>
        <v>44.358855756568929</v>
      </c>
      <c r="N29" s="9">
        <f t="shared" si="28"/>
        <v>44.605328562260873</v>
      </c>
    </row>
    <row r="30" spans="2:31" x14ac:dyDescent="0.2">
      <c r="B30" s="143" t="s">
        <v>93</v>
      </c>
      <c r="C30" s="9">
        <f>2*C14-T14</f>
        <v>41.228428114469324</v>
      </c>
      <c r="D30" s="9">
        <f t="shared" si="18"/>
        <v>47.599546051393389</v>
      </c>
      <c r="E30" s="9">
        <f t="shared" si="19"/>
        <v>45.122956704679694</v>
      </c>
      <c r="F30" s="9">
        <f t="shared" si="20"/>
        <v>46.824943031659757</v>
      </c>
      <c r="G30" s="9">
        <f t="shared" si="21"/>
        <v>49.243626916716785</v>
      </c>
      <c r="H30" s="9">
        <f t="shared" si="22"/>
        <v>48.012382175562699</v>
      </c>
      <c r="I30" s="9">
        <f t="shared" si="23"/>
        <v>46.41184625637915</v>
      </c>
      <c r="J30" s="9">
        <f t="shared" si="24"/>
        <v>48.681165604691081</v>
      </c>
      <c r="K30" s="9">
        <f t="shared" si="25"/>
        <v>48.725765206296913</v>
      </c>
      <c r="L30" s="9">
        <f t="shared" si="26"/>
        <v>50.287314879516956</v>
      </c>
      <c r="M30" s="9">
        <f t="shared" si="27"/>
        <v>51.707051993930946</v>
      </c>
      <c r="N30" s="9">
        <f t="shared" si="28"/>
        <v>56.179215237875852</v>
      </c>
    </row>
    <row r="31" spans="2:31" x14ac:dyDescent="0.2">
      <c r="B31" s="143" t="s">
        <v>94</v>
      </c>
      <c r="C31" s="9">
        <f t="shared" si="17"/>
        <v>56.808065569980897</v>
      </c>
      <c r="D31" s="9">
        <f t="shared" si="18"/>
        <v>51.050110943705462</v>
      </c>
      <c r="E31" s="9">
        <f t="shared" si="19"/>
        <v>50.199462798108968</v>
      </c>
      <c r="F31" s="9">
        <f t="shared" si="20"/>
        <v>48.845446125299475</v>
      </c>
      <c r="G31" s="9">
        <f t="shared" si="21"/>
        <v>52.494410011194816</v>
      </c>
      <c r="H31" s="9">
        <f t="shared" si="22"/>
        <v>46.22775564917039</v>
      </c>
      <c r="I31" s="9">
        <f t="shared" si="23"/>
        <v>46.055348536271772</v>
      </c>
      <c r="J31" s="9">
        <f t="shared" si="24"/>
        <v>47.23598308173716</v>
      </c>
      <c r="K31" s="9">
        <f t="shared" si="25"/>
        <v>45.029782494392009</v>
      </c>
      <c r="L31" s="9">
        <f t="shared" si="26"/>
        <v>48.551300088175751</v>
      </c>
      <c r="M31" s="9">
        <f t="shared" si="27"/>
        <v>53.140925850140519</v>
      </c>
      <c r="N31" s="9">
        <f t="shared" si="28"/>
        <v>54.550904712706284</v>
      </c>
    </row>
    <row r="35" spans="2:30" x14ac:dyDescent="0.2">
      <c r="C35" s="158" t="s">
        <v>2</v>
      </c>
      <c r="D35" s="158" t="s">
        <v>3</v>
      </c>
      <c r="E35" s="158" t="s">
        <v>4</v>
      </c>
      <c r="F35" s="158" t="s">
        <v>5</v>
      </c>
      <c r="G35" s="158" t="s">
        <v>6</v>
      </c>
      <c r="H35" s="158" t="s">
        <v>7</v>
      </c>
      <c r="I35" s="158" t="s">
        <v>8</v>
      </c>
      <c r="J35" s="158" t="s">
        <v>9</v>
      </c>
      <c r="K35" s="158" t="s">
        <v>10</v>
      </c>
      <c r="L35" s="158" t="s">
        <v>11</v>
      </c>
      <c r="M35" s="158" t="s">
        <v>12</v>
      </c>
      <c r="N35" s="158" t="s">
        <v>13</v>
      </c>
    </row>
    <row r="36" spans="2:30" x14ac:dyDescent="0.2">
      <c r="B36" s="143" t="s">
        <v>95</v>
      </c>
      <c r="C36" s="9">
        <f t="shared" ref="C36:C46" si="30">(C4-T4)/$Q$5</f>
        <v>0</v>
      </c>
      <c r="D36" s="9">
        <f t="shared" ref="D36:D46" si="31">(D4-U4)/$Q$5</f>
        <v>0</v>
      </c>
      <c r="E36" s="9">
        <f t="shared" ref="E36:E46" si="32">(E4-V4)/$Q$5</f>
        <v>0</v>
      </c>
      <c r="F36" s="9">
        <f t="shared" ref="F36:F46" si="33">(F4-W4)/$Q$5</f>
        <v>0</v>
      </c>
      <c r="G36" s="9">
        <f t="shared" ref="G36:G46" si="34">(G4-X4)/$Q$5</f>
        <v>0</v>
      </c>
      <c r="H36" s="9">
        <f t="shared" ref="H36:H46" si="35">(H4-Y4)/$Q$5</f>
        <v>0</v>
      </c>
      <c r="I36" s="9">
        <f t="shared" ref="I36:I46" si="36">(I4-Z4)/$Q$5</f>
        <v>0</v>
      </c>
      <c r="J36" s="9">
        <f t="shared" ref="J36:J46" si="37">(J4-AA4)/$Q$5</f>
        <v>0</v>
      </c>
      <c r="K36" s="9">
        <f t="shared" ref="K36:K46" si="38">(K4-AB4)/$Q$5</f>
        <v>0</v>
      </c>
      <c r="L36" s="9">
        <f t="shared" ref="L36:L46" si="39">(L4-AC4)/$Q$5</f>
        <v>0</v>
      </c>
      <c r="M36" s="9">
        <f t="shared" ref="M36:M46" si="40">(M4-AD4)/$Q$5</f>
        <v>0</v>
      </c>
      <c r="N36" s="9">
        <f t="shared" ref="N36:N46" si="41">(N4-AE4)/$Q$5</f>
        <v>0</v>
      </c>
    </row>
    <row r="37" spans="2:30" x14ac:dyDescent="0.2">
      <c r="B37" s="143" t="s">
        <v>96</v>
      </c>
      <c r="C37" s="9">
        <f t="shared" si="30"/>
        <v>-0.2327723363874668</v>
      </c>
      <c r="D37" s="9">
        <f t="shared" si="31"/>
        <v>-0.26319022279212961</v>
      </c>
      <c r="E37" s="9">
        <f t="shared" si="32"/>
        <v>-0.25585541330448602</v>
      </c>
      <c r="F37" s="9">
        <f t="shared" si="33"/>
        <v>-0.21824653720604151</v>
      </c>
      <c r="G37" s="9">
        <f t="shared" si="34"/>
        <v>-0.18502416482080497</v>
      </c>
      <c r="H37" s="9">
        <f t="shared" si="35"/>
        <v>-0.21810271741216866</v>
      </c>
      <c r="I37" s="9">
        <f t="shared" si="36"/>
        <v>-0.21695215906116386</v>
      </c>
      <c r="J37" s="9">
        <f t="shared" si="37"/>
        <v>-0.24880824340458815</v>
      </c>
      <c r="K37" s="9">
        <f t="shared" si="38"/>
        <v>-0.26592279887576875</v>
      </c>
      <c r="L37" s="9">
        <f t="shared" si="39"/>
        <v>-0.27908231001537448</v>
      </c>
      <c r="M37" s="9">
        <f t="shared" si="40"/>
        <v>-0.30878109745066207</v>
      </c>
      <c r="N37" s="9">
        <f t="shared" si="41"/>
        <v>-0.306336160954776</v>
      </c>
    </row>
    <row r="38" spans="2:30" x14ac:dyDescent="0.2">
      <c r="B38" s="143" t="s">
        <v>97</v>
      </c>
      <c r="C38" s="9">
        <f t="shared" si="30"/>
        <v>3.0873979913829217</v>
      </c>
      <c r="D38" s="9">
        <f t="shared" si="31"/>
        <v>1.1401469943412041</v>
      </c>
      <c r="E38" s="9">
        <f t="shared" si="32"/>
        <v>0.63074470928743165</v>
      </c>
      <c r="F38" s="9">
        <f t="shared" si="33"/>
        <v>2.6335885389744704</v>
      </c>
      <c r="G38" s="9">
        <f t="shared" si="34"/>
        <v>4.6635714928838583</v>
      </c>
      <c r="H38" s="9">
        <f t="shared" si="35"/>
        <v>2.5516549280753735</v>
      </c>
      <c r="I38" s="9">
        <f t="shared" si="36"/>
        <v>4.3063546226826235</v>
      </c>
      <c r="J38" s="9">
        <f t="shared" si="37"/>
        <v>2.7878793674318447</v>
      </c>
      <c r="K38" s="9">
        <f t="shared" si="38"/>
        <v>2.8099425498239814</v>
      </c>
      <c r="L38" s="9">
        <f t="shared" si="39"/>
        <v>3.4797699493910397</v>
      </c>
      <c r="M38" s="9">
        <f t="shared" si="40"/>
        <v>2.5412017050538545</v>
      </c>
      <c r="N38" s="9">
        <f t="shared" si="41"/>
        <v>3.0060615400692745</v>
      </c>
    </row>
    <row r="39" spans="2:30" x14ac:dyDescent="0.2">
      <c r="B39" s="143" t="s">
        <v>98</v>
      </c>
      <c r="C39" s="9">
        <f t="shared" si="30"/>
        <v>5.7456098818235786</v>
      </c>
      <c r="D39" s="9">
        <f t="shared" si="31"/>
        <v>5.1275162697832517</v>
      </c>
      <c r="E39" s="9">
        <f t="shared" si="32"/>
        <v>4.5155775753910294</v>
      </c>
      <c r="F39" s="9">
        <f t="shared" si="33"/>
        <v>5.4537410109945998</v>
      </c>
      <c r="G39" s="9">
        <f t="shared" si="34"/>
        <v>6.0014662980098219</v>
      </c>
      <c r="H39" s="9">
        <f t="shared" si="35"/>
        <v>4.2861963083086785</v>
      </c>
      <c r="I39" s="9">
        <f t="shared" si="36"/>
        <v>4.295374247122516</v>
      </c>
      <c r="J39" s="9">
        <f t="shared" si="37"/>
        <v>3.5772203147086157</v>
      </c>
      <c r="K39" s="9">
        <f t="shared" si="38"/>
        <v>3.205006477138483</v>
      </c>
      <c r="L39" s="9">
        <f t="shared" si="39"/>
        <v>2.0767342453459308</v>
      </c>
      <c r="M39" s="9">
        <f t="shared" si="40"/>
        <v>1.3101719921057118</v>
      </c>
      <c r="N39" s="9">
        <f t="shared" si="41"/>
        <v>0.81711610409913771</v>
      </c>
    </row>
    <row r="40" spans="2:30" x14ac:dyDescent="0.2">
      <c r="B40" s="143" t="s">
        <v>99</v>
      </c>
      <c r="C40" s="9">
        <f t="shared" si="30"/>
        <v>1.8768464065807806</v>
      </c>
      <c r="D40" s="9">
        <f t="shared" si="31"/>
        <v>2.5760417482820457</v>
      </c>
      <c r="E40" s="9">
        <f t="shared" si="32"/>
        <v>4.1622303012054589</v>
      </c>
      <c r="F40" s="9">
        <f t="shared" si="33"/>
        <v>5.0618918351033306</v>
      </c>
      <c r="G40" s="9">
        <f t="shared" si="34"/>
        <v>5.4313253347925476</v>
      </c>
      <c r="H40" s="9">
        <f t="shared" si="35"/>
        <v>4.5179910347200796</v>
      </c>
      <c r="I40" s="9">
        <f t="shared" si="36"/>
        <v>5.412844947880239</v>
      </c>
      <c r="J40" s="9">
        <f t="shared" si="37"/>
        <v>3.7996734333616797</v>
      </c>
      <c r="K40" s="9">
        <f t="shared" si="38"/>
        <v>2.1341399087914024</v>
      </c>
      <c r="L40" s="9">
        <f t="shared" si="39"/>
        <v>2.1662901460400148</v>
      </c>
      <c r="M40" s="9">
        <f t="shared" si="40"/>
        <v>1.4736408578442608</v>
      </c>
      <c r="N40" s="9">
        <f t="shared" si="41"/>
        <v>0.44662425519892229</v>
      </c>
    </row>
    <row r="41" spans="2:30" x14ac:dyDescent="0.2">
      <c r="B41" s="143" t="s">
        <v>100</v>
      </c>
      <c r="C41" s="9">
        <f t="shared" si="30"/>
        <v>-0.69622802461011291</v>
      </c>
      <c r="D41" s="9">
        <f t="shared" si="31"/>
        <v>-1.4187857403942084</v>
      </c>
      <c r="E41" s="9">
        <f t="shared" si="32"/>
        <v>-0.51812558078102178</v>
      </c>
      <c r="F41" s="9">
        <f t="shared" si="33"/>
        <v>0.70369514377710385</v>
      </c>
      <c r="G41" s="9">
        <f t="shared" si="34"/>
        <v>2.2407949950645043</v>
      </c>
      <c r="H41" s="9">
        <f t="shared" si="35"/>
        <v>-0.60785678622939188</v>
      </c>
      <c r="I41" s="9">
        <f t="shared" si="36"/>
        <v>0.11342221696956437</v>
      </c>
      <c r="J41" s="9">
        <f t="shared" si="37"/>
        <v>-0.22124143032523153</v>
      </c>
      <c r="K41" s="9">
        <f t="shared" si="38"/>
        <v>-0.75614654503791823</v>
      </c>
      <c r="L41" s="9">
        <f t="shared" si="39"/>
        <v>0.64338574243062996</v>
      </c>
      <c r="M41" s="9">
        <f t="shared" si="40"/>
        <v>0.41210478660434074</v>
      </c>
      <c r="N41" s="9">
        <f t="shared" si="41"/>
        <v>2.0258219018648718</v>
      </c>
    </row>
    <row r="42" spans="2:30" x14ac:dyDescent="0.2">
      <c r="B42" s="143" t="s">
        <v>101</v>
      </c>
      <c r="C42" s="9">
        <f t="shared" si="30"/>
        <v>2.4699328113304486</v>
      </c>
      <c r="D42" s="9">
        <f t="shared" si="31"/>
        <v>0.69958077007477271</v>
      </c>
      <c r="E42" s="9">
        <f t="shared" si="32"/>
        <v>2.7636381858842505</v>
      </c>
      <c r="F42" s="9">
        <f t="shared" si="33"/>
        <v>3.8440624536128016</v>
      </c>
      <c r="G42" s="9">
        <f t="shared" si="34"/>
        <v>3.8740640415267977</v>
      </c>
      <c r="H42" s="9">
        <f t="shared" si="35"/>
        <v>3.9238333545234321</v>
      </c>
      <c r="I42" s="9">
        <f t="shared" si="36"/>
        <v>3.8576777621864582</v>
      </c>
      <c r="J42" s="9">
        <f t="shared" si="37"/>
        <v>3.1736205634173995</v>
      </c>
      <c r="K42" s="9">
        <f t="shared" si="38"/>
        <v>4.1321071581869475</v>
      </c>
      <c r="L42" s="9">
        <f t="shared" si="39"/>
        <v>3.3643255566656145</v>
      </c>
      <c r="M42" s="9">
        <f t="shared" si="40"/>
        <v>1.9063598888131021</v>
      </c>
      <c r="N42" s="9">
        <f t="shared" si="41"/>
        <v>1.9400561707265103</v>
      </c>
    </row>
    <row r="43" spans="2:30" x14ac:dyDescent="0.2">
      <c r="B43" s="143" t="s">
        <v>102</v>
      </c>
      <c r="C43" s="9">
        <f t="shared" si="30"/>
        <v>4.1639005071878437</v>
      </c>
      <c r="D43" s="9">
        <f t="shared" si="31"/>
        <v>3.3241254406712257</v>
      </c>
      <c r="E43" s="9">
        <f t="shared" si="32"/>
        <v>1.9052724373286816</v>
      </c>
      <c r="F43" s="9">
        <f t="shared" si="33"/>
        <v>3.0449073297478311</v>
      </c>
      <c r="G43" s="9">
        <f t="shared" si="34"/>
        <v>0.39221256065519544</v>
      </c>
      <c r="H43" s="9">
        <f t="shared" si="35"/>
        <v>1.1446328824703842</v>
      </c>
      <c r="I43" s="9">
        <f t="shared" si="36"/>
        <v>0.86647561451263533</v>
      </c>
      <c r="J43" s="9">
        <f t="shared" si="37"/>
        <v>-0.60264347048455735</v>
      </c>
      <c r="K43" s="9">
        <f t="shared" si="38"/>
        <v>-0.10033062147290779</v>
      </c>
      <c r="L43" s="9">
        <f t="shared" si="39"/>
        <v>-2.6094216536486479</v>
      </c>
      <c r="M43" s="9">
        <f t="shared" si="40"/>
        <v>-3.5638189214389739</v>
      </c>
      <c r="N43" s="9">
        <f t="shared" si="41"/>
        <v>-4.860105316009431</v>
      </c>
    </row>
    <row r="44" spans="2:30" x14ac:dyDescent="0.2">
      <c r="B44" s="143" t="s">
        <v>103</v>
      </c>
      <c r="C44" s="9">
        <f t="shared" si="30"/>
        <v>-3.4777681564502552</v>
      </c>
      <c r="D44" s="9">
        <f t="shared" si="31"/>
        <v>-2.4960844440930106</v>
      </c>
      <c r="E44" s="9">
        <f t="shared" si="32"/>
        <v>-3.7232269112782643</v>
      </c>
      <c r="F44" s="9">
        <f t="shared" si="33"/>
        <v>-2.6082191231558536</v>
      </c>
      <c r="G44" s="9">
        <f t="shared" si="34"/>
        <v>-4.1089822054166731</v>
      </c>
      <c r="H44" s="9">
        <f t="shared" si="35"/>
        <v>-3.1671907103464507</v>
      </c>
      <c r="I44" s="9">
        <f t="shared" si="36"/>
        <v>-3.9793337583034516</v>
      </c>
      <c r="J44" s="9">
        <f t="shared" si="37"/>
        <v>-4.2569753036991616</v>
      </c>
      <c r="K44" s="9">
        <f t="shared" si="38"/>
        <v>-3.6083460937680938</v>
      </c>
      <c r="L44" s="9">
        <f t="shared" si="39"/>
        <v>-3.6668830632899443</v>
      </c>
      <c r="M44" s="9">
        <f t="shared" si="40"/>
        <v>-2.7286856124949188</v>
      </c>
      <c r="N44" s="9">
        <f t="shared" si="41"/>
        <v>-2.292308445608362</v>
      </c>
      <c r="S44" s="158" t="s">
        <v>2</v>
      </c>
      <c r="T44" s="158" t="s">
        <v>3</v>
      </c>
      <c r="U44" s="158" t="s">
        <v>4</v>
      </c>
      <c r="V44" s="158" t="s">
        <v>5</v>
      </c>
      <c r="W44" s="158" t="s">
        <v>6</v>
      </c>
      <c r="X44" s="158" t="s">
        <v>7</v>
      </c>
      <c r="Y44" s="158" t="s">
        <v>8</v>
      </c>
      <c r="Z44" s="158" t="s">
        <v>9</v>
      </c>
      <c r="AA44" s="158" t="s">
        <v>10</v>
      </c>
      <c r="AB44" s="158" t="s">
        <v>11</v>
      </c>
      <c r="AC44" s="158" t="s">
        <v>12</v>
      </c>
      <c r="AD44" s="158" t="s">
        <v>13</v>
      </c>
    </row>
    <row r="45" spans="2:30" x14ac:dyDescent="0.2">
      <c r="B45" s="143" t="s">
        <v>104</v>
      </c>
      <c r="C45" s="9">
        <f t="shared" si="30"/>
        <v>-3.0736608856628953</v>
      </c>
      <c r="D45" s="9">
        <f t="shared" si="31"/>
        <v>-4.0430020249313747</v>
      </c>
      <c r="E45" s="9">
        <f t="shared" si="32"/>
        <v>-8.4504796236760953</v>
      </c>
      <c r="F45" s="9">
        <f t="shared" si="33"/>
        <v>-8.5932827848751696</v>
      </c>
      <c r="G45" s="9">
        <f t="shared" si="34"/>
        <v>-6.7753202968052415</v>
      </c>
      <c r="H45" s="9">
        <f t="shared" si="35"/>
        <v>-5.4471995831394144</v>
      </c>
      <c r="I45" s="9">
        <f t="shared" si="36"/>
        <v>-6.6312010843237363</v>
      </c>
      <c r="J45" s="9">
        <f t="shared" si="37"/>
        <v>-5.5862738249118378</v>
      </c>
      <c r="K45" s="9">
        <f t="shared" si="38"/>
        <v>-7.4711958469857063</v>
      </c>
      <c r="L45" s="9">
        <f t="shared" si="39"/>
        <v>-7.7414430853416434</v>
      </c>
      <c r="M45" s="9">
        <f t="shared" si="40"/>
        <v>-4.2727323443024954</v>
      </c>
      <c r="N45" s="9">
        <f t="shared" si="41"/>
        <v>-3.9472259296921184</v>
      </c>
      <c r="R45" s="165" t="s">
        <v>105</v>
      </c>
      <c r="S45" s="9">
        <f>C31+C47</f>
        <v>58.520878610629772</v>
      </c>
      <c r="T45" s="9">
        <f t="shared" ref="T45:AB45" si="42">D31+D47</f>
        <v>50.167444960923817</v>
      </c>
      <c r="U45" s="9">
        <f t="shared" si="42"/>
        <v>50.44417754099306</v>
      </c>
      <c r="V45" s="9">
        <f t="shared" si="42"/>
        <v>47.799061419293523</v>
      </c>
      <c r="W45" s="9">
        <f t="shared" si="42"/>
        <v>53.141288248266399</v>
      </c>
      <c r="X45" s="9">
        <f t="shared" si="42"/>
        <v>44.849075547588988</v>
      </c>
      <c r="Y45" s="9">
        <f t="shared" si="42"/>
        <v>44.479833306186599</v>
      </c>
      <c r="Z45" s="9">
        <f t="shared" si="42"/>
        <v>45.984792702254055</v>
      </c>
      <c r="AA45" s="9">
        <f t="shared" si="42"/>
        <v>42.914866508277491</v>
      </c>
      <c r="AB45" s="9">
        <f t="shared" si="42"/>
        <v>47.542978310189049</v>
      </c>
      <c r="AC45" s="9">
        <f t="shared" ref="AC45" si="43">M31+M47</f>
        <v>52.574286036285827</v>
      </c>
      <c r="AD45" s="9">
        <f t="shared" ref="AD45" si="44">N31+N47</f>
        <v>54.024734744065142</v>
      </c>
    </row>
    <row r="46" spans="2:30" x14ac:dyDescent="0.2">
      <c r="B46" s="143" t="s">
        <v>106</v>
      </c>
      <c r="C46" s="9">
        <f t="shared" si="30"/>
        <v>-4.6903155934399576</v>
      </c>
      <c r="D46" s="9">
        <f t="shared" si="31"/>
        <v>-2.35918601419485</v>
      </c>
      <c r="E46" s="9">
        <f t="shared" si="32"/>
        <v>-1.5464328569179249</v>
      </c>
      <c r="F46" s="9">
        <f t="shared" si="33"/>
        <v>-1.8961151725757648</v>
      </c>
      <c r="G46" s="9">
        <f t="shared" si="34"/>
        <v>1.6386232692036224E-2</v>
      </c>
      <c r="H46" s="9">
        <f t="shared" si="35"/>
        <v>-0.4663309844178023</v>
      </c>
      <c r="I46" s="9">
        <f t="shared" si="36"/>
        <v>-1.4926858477505822</v>
      </c>
      <c r="J46" s="9">
        <f t="shared" si="37"/>
        <v>-0.43893086537322923</v>
      </c>
      <c r="K46" s="9">
        <f t="shared" si="38"/>
        <v>-0.58498076494067952</v>
      </c>
      <c r="L46" s="9">
        <f t="shared" si="39"/>
        <v>8.6651257483317257E-2</v>
      </c>
      <c r="M46" s="9">
        <f t="shared" si="40"/>
        <v>-0.82792807412338632</v>
      </c>
      <c r="N46" s="9">
        <f t="shared" si="41"/>
        <v>0.82534657015835178</v>
      </c>
    </row>
    <row r="47" spans="2:30" x14ac:dyDescent="0.2">
      <c r="B47" s="143" t="s">
        <v>107</v>
      </c>
      <c r="C47" s="9">
        <f t="shared" ref="C47" si="45">(C15-T15)/$Q$5</f>
        <v>1.7128130406488784</v>
      </c>
      <c r="D47" s="9">
        <f t="shared" ref="D47" si="46">(D15-U15)/$Q$5</f>
        <v>-0.88266598278164643</v>
      </c>
      <c r="E47" s="9">
        <f t="shared" ref="E47" si="47">(E15-V15)/$Q$5</f>
        <v>0.24471474288408862</v>
      </c>
      <c r="F47" s="9">
        <f t="shared" ref="F47" si="48">(F15-W15)/$Q$5</f>
        <v>-1.046384706005953</v>
      </c>
      <c r="G47" s="9">
        <f t="shared" ref="G47" si="49">(G15-X15)/$Q$5</f>
        <v>0.64687823707158199</v>
      </c>
      <c r="H47" s="9">
        <f t="shared" ref="H47" si="50">(H15-Y15)/$Q$5</f>
        <v>-1.3786801015813994</v>
      </c>
      <c r="I47" s="9">
        <f t="shared" ref="I47" si="51">(I15-Z15)/$Q$5</f>
        <v>-1.5755152300851711</v>
      </c>
      <c r="J47" s="9">
        <f t="shared" ref="J47" si="52">(J15-AA15)/$Q$5</f>
        <v>-1.2511903794831021</v>
      </c>
      <c r="K47" s="9">
        <f t="shared" ref="K47" si="53">(K15-AB15)/$Q$5</f>
        <v>-2.1149159861145166</v>
      </c>
      <c r="L47" s="9">
        <f t="shared" ref="L47" si="54">(L15-AC15)/$Q$5</f>
        <v>-1.0083217779866993</v>
      </c>
      <c r="M47" s="9">
        <f t="shared" ref="M47" si="55">(M15-AD15)/$Q$5</f>
        <v>-0.56663981385468987</v>
      </c>
      <c r="N47" s="9">
        <f t="shared" ref="N47" si="56">(N15-AE15)/$Q$5</f>
        <v>-0.52616996864114318</v>
      </c>
    </row>
    <row r="48" spans="2:30" x14ac:dyDescent="0.2">
      <c r="C48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K46"/>
  <sheetViews>
    <sheetView topLeftCell="D12" workbookViewId="0">
      <selection activeCell="W46" sqref="W46"/>
    </sheetView>
  </sheetViews>
  <sheetFormatPr baseColWidth="10" defaultColWidth="8.83203125" defaultRowHeight="15" x14ac:dyDescent="0.2"/>
  <cols>
    <col min="8" max="8" width="13.5" customWidth="1"/>
    <col min="15" max="15" width="13" customWidth="1"/>
    <col min="23" max="23" width="11.33203125" customWidth="1"/>
    <col min="25" max="25" width="12" customWidth="1"/>
    <col min="27" max="27" width="9.33203125" bestFit="1" customWidth="1"/>
  </cols>
  <sheetData>
    <row r="4" spans="2:29" x14ac:dyDescent="0.2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1"/>
    </row>
    <row r="5" spans="2:29" x14ac:dyDescent="0.2"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8"/>
      <c r="P5" s="1"/>
    </row>
    <row r="6" spans="2:29" x14ac:dyDescent="0.2">
      <c r="B6" s="1"/>
      <c r="C6" s="4"/>
      <c r="D6" s="4"/>
      <c r="E6" s="4"/>
      <c r="F6" s="4"/>
      <c r="G6" s="4"/>
      <c r="H6" s="4"/>
      <c r="I6" s="4"/>
      <c r="J6" s="4"/>
      <c r="K6" s="1"/>
      <c r="L6" s="4"/>
      <c r="M6" s="4"/>
      <c r="N6" s="4"/>
      <c r="O6" s="8"/>
      <c r="P6" s="1"/>
    </row>
    <row r="7" spans="2:29" x14ac:dyDescent="0.2"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8"/>
      <c r="P7" s="1"/>
    </row>
    <row r="8" spans="2:29" x14ac:dyDescent="0.2"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8"/>
      <c r="P8" s="1"/>
    </row>
    <row r="9" spans="2:29" x14ac:dyDescent="0.2">
      <c r="B9" s="1"/>
      <c r="C9" s="4"/>
      <c r="D9" s="1"/>
      <c r="E9" s="4"/>
      <c r="F9" s="4"/>
      <c r="G9" s="4"/>
      <c r="H9" s="77">
        <v>2022</v>
      </c>
      <c r="I9" s="77">
        <v>4.1429999999999998</v>
      </c>
      <c r="J9" s="77">
        <v>3.9609999999999999</v>
      </c>
      <c r="K9" s="77">
        <v>3.95</v>
      </c>
      <c r="L9" s="77">
        <v>3.9060000000000001</v>
      </c>
      <c r="M9" s="77">
        <v>3.972</v>
      </c>
      <c r="N9" s="77">
        <v>3.8149999999999999</v>
      </c>
      <c r="O9" s="77">
        <v>3.8290000000000002</v>
      </c>
      <c r="P9" s="78">
        <v>3.839</v>
      </c>
      <c r="Q9" s="79">
        <v>3.7749999999999999</v>
      </c>
      <c r="R9" s="79">
        <v>3.8610000000000002</v>
      </c>
      <c r="S9" s="79">
        <v>3.9780000000000002</v>
      </c>
      <c r="T9" s="79">
        <v>3.9750000000000001</v>
      </c>
    </row>
    <row r="10" spans="2:29" x14ac:dyDescent="0.2">
      <c r="B10" s="1"/>
      <c r="C10" s="4"/>
      <c r="D10" s="4"/>
      <c r="E10" s="4"/>
      <c r="F10" s="4"/>
      <c r="G10" s="4"/>
      <c r="H10" s="80">
        <v>2022</v>
      </c>
      <c r="I10" s="76">
        <f>EXP(I9)</f>
        <v>62.991512809070571</v>
      </c>
      <c r="J10" s="76">
        <f t="shared" ref="J10:T10" si="0">EXP(J9)</f>
        <v>52.509809512456187</v>
      </c>
      <c r="K10" s="76">
        <f t="shared" si="0"/>
        <v>51.935366834831441</v>
      </c>
      <c r="L10" s="76">
        <f t="shared" si="0"/>
        <v>49.699754825406366</v>
      </c>
      <c r="M10" s="76">
        <f t="shared" si="0"/>
        <v>53.090605941098566</v>
      </c>
      <c r="N10" s="76">
        <f t="shared" si="0"/>
        <v>45.376756382947249</v>
      </c>
      <c r="O10" s="76">
        <f t="shared" si="0"/>
        <v>46.016498719574216</v>
      </c>
      <c r="P10" s="76">
        <f t="shared" si="0"/>
        <v>46.478972220334327</v>
      </c>
      <c r="Q10" s="76">
        <f t="shared" si="0"/>
        <v>43.597508315723488</v>
      </c>
      <c r="R10" s="76">
        <f t="shared" si="0"/>
        <v>47.512840460810942</v>
      </c>
      <c r="S10" s="76">
        <f t="shared" si="0"/>
        <v>53.410107121784264</v>
      </c>
      <c r="T10" s="76">
        <f t="shared" si="0"/>
        <v>53.250116905735624</v>
      </c>
    </row>
    <row r="11" spans="2:29" x14ac:dyDescent="0.2">
      <c r="B11" s="1"/>
      <c r="C11" s="4"/>
      <c r="D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9" x14ac:dyDescent="0.2">
      <c r="B12" s="1"/>
      <c r="C12" s="4"/>
      <c r="D12" s="4"/>
      <c r="G12" s="1"/>
      <c r="H12" s="1"/>
      <c r="I12" s="1"/>
      <c r="J12" s="2">
        <v>45246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9" x14ac:dyDescent="0.2">
      <c r="B13" s="1"/>
      <c r="C13" s="4"/>
      <c r="D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9" x14ac:dyDescent="0.2">
      <c r="B14" s="1"/>
      <c r="C14" s="4"/>
      <c r="D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9" x14ac:dyDescent="0.2">
      <c r="B15" s="8"/>
      <c r="C15" s="8"/>
      <c r="D15" s="8"/>
      <c r="G15" s="1"/>
      <c r="H15" s="1"/>
      <c r="I15" s="1"/>
      <c r="J15" s="1"/>
      <c r="K15" s="1"/>
      <c r="L15" s="1" t="s">
        <v>108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9" x14ac:dyDescent="0.2">
      <c r="B16" s="8"/>
      <c r="C16" s="8"/>
      <c r="D16" s="8"/>
      <c r="G16" s="1"/>
      <c r="H16" s="1"/>
      <c r="I16" s="1"/>
      <c r="J16" s="1"/>
      <c r="K16" s="1"/>
      <c r="L16" s="1" t="s">
        <v>109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1" t="s">
        <v>110</v>
      </c>
      <c r="AA16" s="21"/>
      <c r="AB16" s="21"/>
      <c r="AC16" s="21"/>
    </row>
    <row r="17" spans="2:37" x14ac:dyDescent="0.2">
      <c r="B17" s="1"/>
      <c r="C17" s="1"/>
      <c r="D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37" x14ac:dyDescent="0.2">
      <c r="B18" s="1"/>
      <c r="C18" s="1"/>
      <c r="D18" s="1"/>
      <c r="G18" s="1"/>
      <c r="H18" s="3" t="s">
        <v>1</v>
      </c>
      <c r="I18" s="30" t="s">
        <v>2</v>
      </c>
      <c r="J18" s="30" t="s">
        <v>3</v>
      </c>
      <c r="K18" s="30" t="s">
        <v>4</v>
      </c>
      <c r="L18" s="30" t="s">
        <v>5</v>
      </c>
      <c r="M18" s="30" t="s">
        <v>6</v>
      </c>
      <c r="N18" s="30" t="s">
        <v>7</v>
      </c>
      <c r="O18" s="30" t="s">
        <v>8</v>
      </c>
      <c r="P18" s="30" t="s">
        <v>9</v>
      </c>
      <c r="Q18" s="30" t="s">
        <v>10</v>
      </c>
      <c r="R18" s="30" t="s">
        <v>11</v>
      </c>
      <c r="S18" s="30" t="s">
        <v>12</v>
      </c>
      <c r="T18" s="30" t="s">
        <v>13</v>
      </c>
      <c r="U18" s="31" t="s">
        <v>14</v>
      </c>
      <c r="V18" s="57" t="s">
        <v>111</v>
      </c>
      <c r="W18" s="58" t="s">
        <v>112</v>
      </c>
      <c r="X18" s="4"/>
      <c r="Y18" s="1"/>
      <c r="Z18" s="28" t="s">
        <v>2</v>
      </c>
      <c r="AA18" s="29" t="s">
        <v>3</v>
      </c>
      <c r="AB18" s="29" t="s">
        <v>4</v>
      </c>
      <c r="AC18" s="29" t="s">
        <v>5</v>
      </c>
      <c r="AD18" s="29" t="s">
        <v>6</v>
      </c>
      <c r="AE18" s="29" t="s">
        <v>7</v>
      </c>
      <c r="AF18" s="29" t="s">
        <v>8</v>
      </c>
      <c r="AG18" s="29" t="s">
        <v>9</v>
      </c>
      <c r="AH18" s="29" t="s">
        <v>10</v>
      </c>
      <c r="AI18" s="29" t="s">
        <v>11</v>
      </c>
      <c r="AJ18" s="29" t="s">
        <v>12</v>
      </c>
      <c r="AK18" s="29" t="s">
        <v>13</v>
      </c>
    </row>
    <row r="19" spans="2:37" x14ac:dyDescent="0.2">
      <c r="B19" s="1"/>
      <c r="C19" s="1"/>
      <c r="D19" s="1"/>
      <c r="G19" s="1"/>
      <c r="H19" s="75">
        <v>2012</v>
      </c>
      <c r="I19" s="59">
        <v>32.369999999999997</v>
      </c>
      <c r="J19" s="59">
        <v>36.6</v>
      </c>
      <c r="K19" s="59">
        <v>35.58</v>
      </c>
      <c r="L19" s="59">
        <v>30.35</v>
      </c>
      <c r="M19" s="59">
        <v>25.73</v>
      </c>
      <c r="N19" s="59">
        <v>30.33</v>
      </c>
      <c r="O19" s="59">
        <v>30.17</v>
      </c>
      <c r="P19" s="59">
        <v>34.6</v>
      </c>
      <c r="Q19" s="59">
        <v>36.979999999999997</v>
      </c>
      <c r="R19" s="59">
        <v>38.81</v>
      </c>
      <c r="S19" s="59">
        <v>42.94</v>
      </c>
      <c r="T19" s="59">
        <v>42.6</v>
      </c>
      <c r="U19" s="60">
        <v>34.755000000000003</v>
      </c>
      <c r="V19" s="61">
        <f>(U19-U29)^2</f>
        <v>198.5492355625</v>
      </c>
      <c r="W19" s="62">
        <f>STDEV(I19:T19)</f>
        <v>5.2326449074318688</v>
      </c>
      <c r="X19" s="1"/>
      <c r="Y19" s="26">
        <v>2012</v>
      </c>
      <c r="Z19" s="10">
        <f t="shared" ref="Z19:Z28" si="1">POWER(I19-$I$29-U19+$U$29,2)</f>
        <v>2.7200255625000072</v>
      </c>
      <c r="AA19" s="10">
        <f>(J19-J$29-$U19+$U$29)^2</f>
        <v>1.9341855625000115</v>
      </c>
      <c r="AB19" s="10">
        <f>(K19-$K$29-U19+$U$29)^2</f>
        <v>3.879915062499991</v>
      </c>
      <c r="AC19" s="10">
        <f t="shared" ref="AC19:AC28" si="2">(L19-L$29-$U19+$U$29)^2</f>
        <v>18.759726562499974</v>
      </c>
      <c r="AD19" s="10">
        <f t="shared" ref="AD19:AD28" si="3">(M19-M$29-$U19+$U$29)^2</f>
        <v>54.438573062500019</v>
      </c>
      <c r="AE19" s="10">
        <f t="shared" ref="AE19:AE28" si="4">(N19-N$29-$U19+$U$29)^2</f>
        <v>3.1657305625000167</v>
      </c>
      <c r="AF19" s="10">
        <f t="shared" ref="AF19:AF28" si="5">(O19-O$29-$U19+$U$29)^2</f>
        <v>14.701473062499979</v>
      </c>
      <c r="AG19" s="10">
        <f t="shared" ref="AG19:AG28" si="6">(P19-P$29-$U19+$U$29)^2</f>
        <v>0.3372705625000022</v>
      </c>
      <c r="AH19" s="10">
        <f t="shared" ref="AH19:AH28" si="7">(Q19-Q$29-$U19+$U$29)^2</f>
        <v>4.3796025624999801</v>
      </c>
      <c r="AI19" s="10">
        <f t="shared" ref="AI19:AI28" si="8">(R19-R$29-$U19+$U$29)^2</f>
        <v>8.8134765625</v>
      </c>
      <c r="AJ19" s="10">
        <f t="shared" ref="AJ19:AJ28" si="9">(S19-S$29-$U19+$U$29)^2</f>
        <v>27.759726562499971</v>
      </c>
      <c r="AK19" s="10">
        <f t="shared" ref="AK19:AK27" si="10">(T19-T$29-$U19+$U$29)^2</f>
        <v>22.097050562499994</v>
      </c>
    </row>
    <row r="20" spans="2:37" x14ac:dyDescent="0.2">
      <c r="B20" s="1"/>
      <c r="C20" s="1"/>
      <c r="D20" s="1"/>
      <c r="G20" s="1"/>
      <c r="H20" s="75">
        <v>2013</v>
      </c>
      <c r="I20" s="59">
        <v>46.21</v>
      </c>
      <c r="J20" s="59">
        <v>43.1</v>
      </c>
      <c r="K20" s="59">
        <v>40.04</v>
      </c>
      <c r="L20" s="59">
        <v>42.31</v>
      </c>
      <c r="M20" s="59">
        <v>45.33</v>
      </c>
      <c r="N20" s="59">
        <v>41.97</v>
      </c>
      <c r="O20" s="59">
        <v>48.63</v>
      </c>
      <c r="P20" s="59">
        <v>47.4</v>
      </c>
      <c r="Q20" s="63">
        <v>50</v>
      </c>
      <c r="R20" s="59">
        <v>54.54</v>
      </c>
      <c r="S20" s="59">
        <v>55.25</v>
      </c>
      <c r="T20" s="59">
        <v>56.7</v>
      </c>
      <c r="U20" s="60">
        <v>47.623333299999999</v>
      </c>
      <c r="V20" s="61">
        <f>(U20-U29)^2</f>
        <v>1.494302588438899</v>
      </c>
      <c r="W20" s="62">
        <f t="shared" ref="W20:W28" si="11">STDEV(I20:T20)</f>
        <v>5.5638448663643985</v>
      </c>
      <c r="X20" s="1"/>
      <c r="Y20" s="27">
        <v>2013</v>
      </c>
      <c r="Z20" s="10">
        <f t="shared" si="1"/>
        <v>0.45911912843888308</v>
      </c>
      <c r="AA20" s="10">
        <f t="shared" ref="AA20:AA28" si="12">(J20-$J$29-U20+$U$29)^2</f>
        <v>24.776335508438812</v>
      </c>
      <c r="AB20" s="10">
        <f>(K20-$K$29-U20+$U$29)^2</f>
        <v>41.45535491103886</v>
      </c>
      <c r="AC20" s="10">
        <f t="shared" si="2"/>
        <v>27.453233157638813</v>
      </c>
      <c r="AD20" s="10">
        <f t="shared" si="3"/>
        <v>0.41806996383888495</v>
      </c>
      <c r="AE20" s="10">
        <f t="shared" si="4"/>
        <v>9.0455573064388926</v>
      </c>
      <c r="AF20" s="10">
        <f t="shared" si="5"/>
        <v>3.0885134574389159</v>
      </c>
      <c r="AG20" s="10">
        <f t="shared" si="6"/>
        <v>0.26257087443889293</v>
      </c>
      <c r="AH20" s="10">
        <f t="shared" si="7"/>
        <v>5.0374063232388995</v>
      </c>
      <c r="AI20" s="10">
        <f t="shared" si="8"/>
        <v>33.993758895638898</v>
      </c>
      <c r="AJ20" s="10">
        <f t="shared" si="9"/>
        <v>22.188025487638921</v>
      </c>
      <c r="AK20" s="10">
        <f t="shared" si="10"/>
        <v>35.193567902438943</v>
      </c>
    </row>
    <row r="21" spans="2:37" x14ac:dyDescent="0.2">
      <c r="B21" s="1"/>
      <c r="C21" s="1"/>
      <c r="D21" s="1"/>
      <c r="G21" s="1"/>
      <c r="H21" s="75">
        <v>2014</v>
      </c>
      <c r="I21" s="59">
        <v>57.45</v>
      </c>
      <c r="J21" s="59">
        <v>59.5</v>
      </c>
      <c r="K21" s="59">
        <v>55.99</v>
      </c>
      <c r="L21" s="59">
        <v>54.11</v>
      </c>
      <c r="M21" s="59">
        <v>51.37</v>
      </c>
      <c r="N21" s="59">
        <v>49.54</v>
      </c>
      <c r="O21" s="59">
        <v>49.5</v>
      </c>
      <c r="P21" s="59">
        <v>51.4</v>
      </c>
      <c r="Q21" s="59">
        <v>52.52</v>
      </c>
      <c r="R21" s="59">
        <v>50.14</v>
      </c>
      <c r="S21" s="59">
        <v>51.56</v>
      </c>
      <c r="T21" s="59">
        <v>49.3</v>
      </c>
      <c r="U21" s="60">
        <v>52.698333300000002</v>
      </c>
      <c r="V21" s="64">
        <f>(U21-U29)^2</f>
        <v>14.842398083438884</v>
      </c>
      <c r="W21" s="62">
        <f t="shared" si="11"/>
        <v>3.36755598815125</v>
      </c>
      <c r="X21" s="1"/>
      <c r="Y21" s="27">
        <v>2014</v>
      </c>
      <c r="Z21" s="10">
        <f t="shared" si="1"/>
        <v>30.111742039438937</v>
      </c>
      <c r="AA21" s="10">
        <f t="shared" si="12"/>
        <v>40.289698763438935</v>
      </c>
      <c r="AB21" s="10">
        <f>(K21-$K$29-U21+$U$29)^2</f>
        <v>19.681793136038909</v>
      </c>
      <c r="AC21" s="10">
        <f t="shared" si="2"/>
        <v>2.2064627726388952</v>
      </c>
      <c r="AD21" s="10">
        <f t="shared" si="3"/>
        <v>0.10138919483889014</v>
      </c>
      <c r="AE21" s="10">
        <f t="shared" si="4"/>
        <v>0.26274163943889295</v>
      </c>
      <c r="AF21" s="10">
        <f t="shared" si="5"/>
        <v>5.9906640104388806</v>
      </c>
      <c r="AG21" s="10">
        <f t="shared" si="6"/>
        <v>0.31649996943889003</v>
      </c>
      <c r="AH21" s="10">
        <f t="shared" si="7"/>
        <v>9.6461986238888492E-2</v>
      </c>
      <c r="AI21" s="10">
        <f t="shared" si="8"/>
        <v>13.282987430638896</v>
      </c>
      <c r="AJ21" s="10">
        <f t="shared" si="9"/>
        <v>16.43964573663887</v>
      </c>
      <c r="AK21" s="10">
        <f t="shared" si="10"/>
        <v>42.805396237438941</v>
      </c>
    </row>
    <row r="22" spans="2:37" x14ac:dyDescent="0.2">
      <c r="B22" s="1"/>
      <c r="C22" s="1"/>
      <c r="D22" s="1"/>
      <c r="G22" s="1"/>
      <c r="H22" s="75">
        <v>2015</v>
      </c>
      <c r="I22" s="59">
        <v>46.78</v>
      </c>
      <c r="J22" s="59">
        <v>52.1</v>
      </c>
      <c r="K22" s="59">
        <v>56.57</v>
      </c>
      <c r="L22" s="59">
        <v>56.44</v>
      </c>
      <c r="M22" s="59">
        <v>54.93</v>
      </c>
      <c r="N22" s="59">
        <v>54.15</v>
      </c>
      <c r="O22" s="59">
        <v>59.31</v>
      </c>
      <c r="P22" s="59">
        <v>56.3</v>
      </c>
      <c r="Q22" s="59">
        <v>52.46</v>
      </c>
      <c r="R22" s="59">
        <v>55.26</v>
      </c>
      <c r="S22" s="59">
        <v>56.11</v>
      </c>
      <c r="T22" s="59">
        <v>52.2</v>
      </c>
      <c r="U22" s="65">
        <v>54.384166700000002</v>
      </c>
      <c r="V22" s="66">
        <f>(U22-U29)^2</f>
        <v>30.674059542838879</v>
      </c>
      <c r="W22" s="62">
        <f t="shared" si="11"/>
        <v>3.1987311641658875</v>
      </c>
      <c r="X22" s="1"/>
      <c r="Y22" s="27">
        <v>2015</v>
      </c>
      <c r="Z22" s="10">
        <f t="shared" si="1"/>
        <v>47.175147964838857</v>
      </c>
      <c r="AA22" s="10">
        <f t="shared" si="12"/>
        <v>7.4989260228388614</v>
      </c>
      <c r="AB22" s="10">
        <f>(K22-$K$29-U22+$U$29)^2</f>
        <v>11.092785118238895</v>
      </c>
      <c r="AC22" s="10">
        <f t="shared" si="2"/>
        <v>4.5351250316388905</v>
      </c>
      <c r="AD22" s="10">
        <f t="shared" si="3"/>
        <v>4.8074215274389012</v>
      </c>
      <c r="AE22" s="10">
        <f t="shared" si="4"/>
        <v>5.8157340128388739</v>
      </c>
      <c r="AF22" s="10">
        <f t="shared" si="5"/>
        <v>32.223597961838941</v>
      </c>
      <c r="AG22" s="10">
        <f t="shared" si="6"/>
        <v>7.0308939968388824</v>
      </c>
      <c r="AH22" s="10">
        <f t="shared" si="7"/>
        <v>4.2288496440388892</v>
      </c>
      <c r="AI22" s="10">
        <f t="shared" si="8"/>
        <v>4.4275187638891357E-2</v>
      </c>
      <c r="AJ22" s="10">
        <f t="shared" si="9"/>
        <v>1.4170919196388903</v>
      </c>
      <c r="AK22" s="10">
        <f t="shared" si="10"/>
        <v>28.392024528838871</v>
      </c>
    </row>
    <row r="23" spans="2:37" x14ac:dyDescent="0.2">
      <c r="B23" s="1"/>
      <c r="C23" s="1"/>
      <c r="D23" s="1"/>
      <c r="G23" s="1"/>
      <c r="H23" s="75">
        <v>2016</v>
      </c>
      <c r="I23" s="59">
        <v>43.72</v>
      </c>
      <c r="J23" s="63">
        <v>43</v>
      </c>
      <c r="K23" s="59">
        <v>44.23</v>
      </c>
      <c r="L23" s="59">
        <v>46.24</v>
      </c>
      <c r="M23" s="59">
        <v>49.76</v>
      </c>
      <c r="N23" s="59">
        <v>39.76</v>
      </c>
      <c r="O23" s="59">
        <v>44.35</v>
      </c>
      <c r="P23" s="59">
        <v>45.6</v>
      </c>
      <c r="Q23" s="59">
        <v>45.77</v>
      </c>
      <c r="R23" s="59">
        <v>52.84</v>
      </c>
      <c r="S23" s="59">
        <v>54.78</v>
      </c>
      <c r="T23" s="59">
        <v>60.6</v>
      </c>
      <c r="U23" s="65">
        <v>47.554166700000003</v>
      </c>
      <c r="V23" s="66">
        <f>(U23-U29)^2</f>
        <v>1.668187420838888</v>
      </c>
      <c r="W23" s="62">
        <f t="shared" si="11"/>
        <v>5.8887279971351054</v>
      </c>
      <c r="X23" s="1"/>
      <c r="Y23" s="27">
        <v>2016</v>
      </c>
      <c r="Z23" s="10">
        <f t="shared" si="1"/>
        <v>9.600186046838898</v>
      </c>
      <c r="AA23" s="10">
        <f t="shared" si="12"/>
        <v>25.08423784083887</v>
      </c>
      <c r="AB23" s="10">
        <f t="shared" ref="AB23:AB28" si="13">(K23-$K$29-U23+$U$29)^2</f>
        <v>4.749857152238909</v>
      </c>
      <c r="AC23" s="10">
        <f t="shared" si="2"/>
        <v>1.5386335896388832</v>
      </c>
      <c r="AD23" s="10">
        <f t="shared" si="3"/>
        <v>14.842398083438884</v>
      </c>
      <c r="AE23" s="10">
        <f t="shared" si="4"/>
        <v>26.506194516838949</v>
      </c>
      <c r="AF23" s="10">
        <f t="shared" si="5"/>
        <v>6.0192535038388817</v>
      </c>
      <c r="AG23" s="10">
        <f t="shared" si="6"/>
        <v>1.4845392548388872</v>
      </c>
      <c r="AH23" s="10">
        <f t="shared" si="7"/>
        <v>3.6726529680388871</v>
      </c>
      <c r="AI23" s="10">
        <f t="shared" si="8"/>
        <v>17.636499893638895</v>
      </c>
      <c r="AJ23" s="10">
        <f t="shared" si="9"/>
        <v>18.572508219638888</v>
      </c>
      <c r="AK23" s="10">
        <f t="shared" si="10"/>
        <v>98.041351846838865</v>
      </c>
    </row>
    <row r="24" spans="2:37" x14ac:dyDescent="0.2">
      <c r="B24" s="187"/>
      <c r="C24" s="187"/>
      <c r="D24" s="187"/>
      <c r="G24" s="1"/>
      <c r="H24" s="75">
        <v>2017</v>
      </c>
      <c r="I24" s="59">
        <v>59.18</v>
      </c>
      <c r="J24" s="59">
        <v>55.1</v>
      </c>
      <c r="K24" s="59">
        <v>62.43</v>
      </c>
      <c r="L24" s="59">
        <v>64.78</v>
      </c>
      <c r="M24" s="59">
        <v>62.82</v>
      </c>
      <c r="N24" s="59">
        <v>63.06</v>
      </c>
      <c r="O24" s="59">
        <v>65.569999999999993</v>
      </c>
      <c r="P24" s="59">
        <v>63.9</v>
      </c>
      <c r="Q24" s="59">
        <v>68.25</v>
      </c>
      <c r="R24" s="59">
        <v>67.040000000000006</v>
      </c>
      <c r="S24" s="59">
        <v>63.58</v>
      </c>
      <c r="T24" s="59">
        <v>62.3</v>
      </c>
      <c r="U24" s="65">
        <v>63.167499999999997</v>
      </c>
      <c r="V24" s="66">
        <f>(U24-U29)^2</f>
        <v>205.11252306249983</v>
      </c>
      <c r="W24" s="62">
        <f t="shared" si="11"/>
        <v>3.4683035543986844</v>
      </c>
      <c r="X24" s="1"/>
      <c r="Y24" s="27">
        <v>2017</v>
      </c>
      <c r="Z24" s="10">
        <f t="shared" si="1"/>
        <v>10.573878062499961</v>
      </c>
      <c r="AA24" s="10">
        <f t="shared" si="12"/>
        <v>72.620223062499832</v>
      </c>
      <c r="AB24" s="10">
        <f t="shared" si="13"/>
        <v>0.16585256250000388</v>
      </c>
      <c r="AC24" s="10">
        <f t="shared" si="2"/>
        <v>2.8434390625000279</v>
      </c>
      <c r="AD24" s="10">
        <f t="shared" si="3"/>
        <v>1.6880505625000202</v>
      </c>
      <c r="AE24" s="10">
        <f t="shared" si="4"/>
        <v>6.4427130625000251</v>
      </c>
      <c r="AF24" s="10">
        <f t="shared" si="5"/>
        <v>9.9429855624999988</v>
      </c>
      <c r="AG24" s="10">
        <f t="shared" si="6"/>
        <v>2.1557580625000137</v>
      </c>
      <c r="AH24" s="10">
        <f t="shared" si="7"/>
        <v>24.504975062500041</v>
      </c>
      <c r="AI24" s="10">
        <f t="shared" si="8"/>
        <v>7.7631890625000537</v>
      </c>
      <c r="AJ24" s="10">
        <f t="shared" si="9"/>
        <v>6.268764062499983</v>
      </c>
      <c r="AK24" s="10">
        <f t="shared" si="10"/>
        <v>16.094138062499994</v>
      </c>
    </row>
    <row r="25" spans="2:37" x14ac:dyDescent="0.2">
      <c r="B25" s="187"/>
      <c r="C25" s="187"/>
      <c r="D25" s="187"/>
      <c r="G25" s="1"/>
      <c r="H25" s="75">
        <v>2018</v>
      </c>
      <c r="I25" s="59">
        <v>66.599999999999994</v>
      </c>
      <c r="J25" s="59">
        <v>65.400000000000006</v>
      </c>
      <c r="K25" s="59">
        <v>60.17</v>
      </c>
      <c r="L25" s="59">
        <v>63.98</v>
      </c>
      <c r="M25" s="59">
        <v>53.06</v>
      </c>
      <c r="N25" s="59">
        <v>53.19</v>
      </c>
      <c r="O25" s="59">
        <v>55.67</v>
      </c>
      <c r="P25" s="59">
        <v>50.6</v>
      </c>
      <c r="Q25" s="59">
        <v>52.71</v>
      </c>
      <c r="R25" s="59">
        <v>46.13</v>
      </c>
      <c r="S25" s="59">
        <v>44.38</v>
      </c>
      <c r="T25" s="59">
        <v>39.5</v>
      </c>
      <c r="U25" s="65">
        <v>54.282499999999999</v>
      </c>
      <c r="V25" s="66">
        <f>(U25-U29)^2</f>
        <v>29.558250562499961</v>
      </c>
      <c r="W25" s="62">
        <f t="shared" si="11"/>
        <v>8.569054392511303</v>
      </c>
      <c r="X25" s="1"/>
      <c r="Y25" s="27">
        <v>2018</v>
      </c>
      <c r="Z25" s="10">
        <f t="shared" si="1"/>
        <v>170.38733556249997</v>
      </c>
      <c r="AA25" s="10">
        <f t="shared" si="12"/>
        <v>113.70490056250026</v>
      </c>
      <c r="AB25" s="10">
        <f t="shared" si="13"/>
        <v>49.45254006250007</v>
      </c>
      <c r="AC25" s="10">
        <f t="shared" si="2"/>
        <v>95.477326562500039</v>
      </c>
      <c r="AD25" s="10">
        <f t="shared" si="3"/>
        <v>0.1799880625000066</v>
      </c>
      <c r="AE25" s="10">
        <f t="shared" si="4"/>
        <v>2.4125855624999955</v>
      </c>
      <c r="AF25" s="10">
        <f t="shared" si="5"/>
        <v>4.5721130625000272</v>
      </c>
      <c r="AG25" s="10">
        <f t="shared" si="6"/>
        <v>8.683335562499968</v>
      </c>
      <c r="AH25" s="10">
        <f t="shared" si="7"/>
        <v>2.9061725624999899</v>
      </c>
      <c r="AI25" s="10">
        <f t="shared" si="8"/>
        <v>85.354501562499919</v>
      </c>
      <c r="AJ25" s="10">
        <f t="shared" si="9"/>
        <v>164.32035156249987</v>
      </c>
      <c r="AK25" s="10">
        <f t="shared" si="10"/>
        <v>321.36836556250017</v>
      </c>
    </row>
    <row r="26" spans="2:37" x14ac:dyDescent="0.2">
      <c r="G26" s="1"/>
      <c r="H26" s="75">
        <v>2019</v>
      </c>
      <c r="I26" s="59">
        <v>40.97</v>
      </c>
      <c r="J26" s="59">
        <v>45.1</v>
      </c>
      <c r="K26" s="59">
        <v>42.61</v>
      </c>
      <c r="L26" s="59">
        <v>47.45</v>
      </c>
      <c r="M26" s="59">
        <v>40.880000000000003</v>
      </c>
      <c r="N26" s="59">
        <v>41.76</v>
      </c>
      <c r="O26" s="59">
        <v>42.18</v>
      </c>
      <c r="P26" s="63">
        <v>41</v>
      </c>
      <c r="Q26" s="59">
        <v>44.67</v>
      </c>
      <c r="R26" s="59">
        <v>46.81</v>
      </c>
      <c r="S26" s="59">
        <v>50.97</v>
      </c>
      <c r="T26" s="59">
        <v>52.8</v>
      </c>
      <c r="U26" s="65">
        <v>44.766666700000002</v>
      </c>
      <c r="V26" s="66">
        <f>(U26-U29)^2</f>
        <v>16.638920568338897</v>
      </c>
      <c r="W26" s="62">
        <f t="shared" si="11"/>
        <v>4.0294649618513718</v>
      </c>
      <c r="X26" s="5"/>
      <c r="Y26" s="27">
        <v>2019</v>
      </c>
      <c r="Z26" s="10">
        <f t="shared" si="1"/>
        <v>9.3692110443388898</v>
      </c>
      <c r="AA26" s="10">
        <f t="shared" si="12"/>
        <v>1.4620848338888815E-2</v>
      </c>
      <c r="AB26" s="10">
        <f t="shared" si="13"/>
        <v>1.023975407738891</v>
      </c>
      <c r="AC26" s="10">
        <f t="shared" si="2"/>
        <v>7.6015083231389173</v>
      </c>
      <c r="AD26" s="10">
        <f t="shared" si="3"/>
        <v>5.0172268229388672</v>
      </c>
      <c r="AE26" s="10">
        <f t="shared" si="4"/>
        <v>0.13026086433889303</v>
      </c>
      <c r="AF26" s="10">
        <f t="shared" si="5"/>
        <v>3.3705901293388845</v>
      </c>
      <c r="AG26" s="10">
        <f t="shared" si="6"/>
        <v>9.1864560423388824</v>
      </c>
      <c r="AH26" s="10">
        <f t="shared" si="7"/>
        <v>5.2402855538889632E-2</v>
      </c>
      <c r="AI26" s="10">
        <f t="shared" si="8"/>
        <v>0.9160084431388914</v>
      </c>
      <c r="AJ26" s="10">
        <f t="shared" si="9"/>
        <v>10.804916621138883</v>
      </c>
      <c r="AK26" s="10">
        <f t="shared" si="10"/>
        <v>23.90313551433885</v>
      </c>
    </row>
    <row r="27" spans="2:37" x14ac:dyDescent="0.2">
      <c r="G27" s="1"/>
      <c r="H27" s="75">
        <v>2020</v>
      </c>
      <c r="I27" s="59">
        <v>48.04</v>
      </c>
      <c r="J27" s="59">
        <v>43.8</v>
      </c>
      <c r="K27" s="59">
        <v>27.51</v>
      </c>
      <c r="L27" s="59">
        <v>28.67</v>
      </c>
      <c r="M27" s="59">
        <v>32.26</v>
      </c>
      <c r="N27" s="59">
        <v>35.369999999999997</v>
      </c>
      <c r="O27" s="59">
        <v>34.119999999999997</v>
      </c>
      <c r="P27" s="59">
        <v>36.6</v>
      </c>
      <c r="Q27" s="59">
        <v>30.98</v>
      </c>
      <c r="R27" s="59">
        <v>29.85</v>
      </c>
      <c r="S27" s="59">
        <v>42.97</v>
      </c>
      <c r="T27" s="59">
        <v>43.1</v>
      </c>
      <c r="U27" s="65">
        <v>36.1058333</v>
      </c>
      <c r="V27" s="66">
        <f>(U27-U29)^2</f>
        <v>162.30547752293893</v>
      </c>
      <c r="W27" s="62">
        <f t="shared" si="11"/>
        <v>6.8208829851397441</v>
      </c>
      <c r="X27" s="1"/>
      <c r="Y27" s="27">
        <v>2020</v>
      </c>
      <c r="Z27" s="24">
        <f t="shared" si="1"/>
        <v>160.52678918493893</v>
      </c>
      <c r="AA27" s="24">
        <f t="shared" si="12"/>
        <v>52.416393822938922</v>
      </c>
      <c r="AB27" s="10">
        <f>(K27-$K$29-U27+$U$29)^2</f>
        <v>55.5186423435389</v>
      </c>
      <c r="AC27" s="10">
        <f t="shared" si="2"/>
        <v>54.200270516138815</v>
      </c>
      <c r="AD27" s="10">
        <f t="shared" si="3"/>
        <v>4.8359673603388815</v>
      </c>
      <c r="AE27" s="10">
        <f t="shared" si="4"/>
        <v>3.6477818009388772</v>
      </c>
      <c r="AF27" s="10">
        <f t="shared" si="5"/>
        <v>1.5254307579388886</v>
      </c>
      <c r="AG27" s="10">
        <f t="shared" si="6"/>
        <v>1.5126950889388997</v>
      </c>
      <c r="AH27" s="10">
        <f t="shared" si="7"/>
        <v>27.647439989738917</v>
      </c>
      <c r="AI27" s="10">
        <f t="shared" si="8"/>
        <v>53.906187184138872</v>
      </c>
      <c r="AJ27" s="10">
        <f t="shared" si="9"/>
        <v>15.586046270138892</v>
      </c>
      <c r="AK27" s="24">
        <f t="shared" si="10"/>
        <v>14.821858596938901</v>
      </c>
    </row>
    <row r="28" spans="2:37" x14ac:dyDescent="0.2">
      <c r="G28" s="1"/>
      <c r="H28" s="75">
        <v>2021</v>
      </c>
      <c r="I28" s="59">
        <v>39.78</v>
      </c>
      <c r="J28" s="59">
        <v>49.3</v>
      </c>
      <c r="K28" s="59">
        <v>51.88</v>
      </c>
      <c r="L28" s="59">
        <v>53.39</v>
      </c>
      <c r="M28" s="59">
        <v>55.85</v>
      </c>
      <c r="N28" s="59">
        <v>52.87</v>
      </c>
      <c r="O28" s="59">
        <v>51.45</v>
      </c>
      <c r="P28" s="59">
        <v>53.7</v>
      </c>
      <c r="Q28" s="59">
        <v>55.44</v>
      </c>
      <c r="R28" s="59">
        <v>57.9</v>
      </c>
      <c r="S28" s="59">
        <v>55.08</v>
      </c>
      <c r="T28" s="59">
        <v>60.8</v>
      </c>
      <c r="U28" s="65">
        <v>53.12</v>
      </c>
      <c r="V28" s="67">
        <f>(U28-U29)^2</f>
        <v>18.269213062499958</v>
      </c>
      <c r="W28" s="62">
        <f t="shared" si="11"/>
        <v>5.1861178333911946</v>
      </c>
      <c r="X28" s="1"/>
      <c r="Y28" s="27">
        <v>2021</v>
      </c>
      <c r="Z28" s="22">
        <f t="shared" si="1"/>
        <v>158.86711806249983</v>
      </c>
      <c r="AA28" s="10">
        <f t="shared" si="12"/>
        <v>18.269213062499958</v>
      </c>
      <c r="AB28" s="25">
        <f t="shared" si="13"/>
        <v>9.0725624999986581E-3</v>
      </c>
      <c r="AC28" s="10">
        <f t="shared" si="2"/>
        <v>0.11816406250000488</v>
      </c>
      <c r="AD28" s="10">
        <f t="shared" si="3"/>
        <v>19.155940562500074</v>
      </c>
      <c r="AE28" s="10">
        <f t="shared" si="4"/>
        <v>5.7396180624999982</v>
      </c>
      <c r="AF28" s="10">
        <f t="shared" si="5"/>
        <v>0.84502056249998347</v>
      </c>
      <c r="AG28" s="10">
        <f t="shared" si="6"/>
        <v>1.7311980625000221</v>
      </c>
      <c r="AH28" s="10">
        <f t="shared" si="7"/>
        <v>4.7862500625000051</v>
      </c>
      <c r="AI28" s="10">
        <f t="shared" si="8"/>
        <v>13.64378906250001</v>
      </c>
      <c r="AJ28" s="22">
        <f t="shared" si="9"/>
        <v>0.91441406249999457</v>
      </c>
      <c r="AK28" s="10">
        <f>(T28-T$29-$U28+$U$29)^2</f>
        <v>20.573028062500001</v>
      </c>
    </row>
    <row r="29" spans="2:37" x14ac:dyDescent="0.2">
      <c r="G29" s="1"/>
      <c r="H29" s="54" t="s">
        <v>16</v>
      </c>
      <c r="I29" s="60">
        <v>48.11</v>
      </c>
      <c r="J29" s="60">
        <v>49.3</v>
      </c>
      <c r="K29" s="60">
        <v>47.701000000000001</v>
      </c>
      <c r="L29" s="60">
        <v>48.771999999999998</v>
      </c>
      <c r="M29" s="60">
        <v>47.198999999999998</v>
      </c>
      <c r="N29" s="60">
        <v>46.2</v>
      </c>
      <c r="O29" s="60">
        <v>48.094999999999999</v>
      </c>
      <c r="P29" s="60">
        <v>48.11</v>
      </c>
      <c r="Q29" s="60">
        <v>48.978000000000002</v>
      </c>
      <c r="R29" s="60">
        <v>49.932000000000002</v>
      </c>
      <c r="S29" s="60">
        <v>51.762</v>
      </c>
      <c r="T29" s="60">
        <v>51.99</v>
      </c>
      <c r="U29" s="68">
        <v>48.845750000000002</v>
      </c>
      <c r="V29" s="69" t="s">
        <v>1</v>
      </c>
      <c r="W29" s="70"/>
      <c r="X29" s="1"/>
    </row>
    <row r="30" spans="2:37" x14ac:dyDescent="0.2">
      <c r="G30" s="1"/>
      <c r="H30" s="55" t="s">
        <v>113</v>
      </c>
      <c r="I30" s="71">
        <v>0.54132806</v>
      </c>
      <c r="J30" s="71">
        <v>0.20634305999999999</v>
      </c>
      <c r="K30" s="71">
        <v>1.3104525600000001</v>
      </c>
      <c r="L30" s="71">
        <v>5.4390599999999999E-3</v>
      </c>
      <c r="M30" s="71">
        <v>2.71178556</v>
      </c>
      <c r="N30" s="71">
        <v>6.9999930600000004</v>
      </c>
      <c r="O30" s="71">
        <v>0.56362555999999997</v>
      </c>
      <c r="P30" s="71">
        <v>0.54132806</v>
      </c>
      <c r="Q30" s="71">
        <v>1.7490060000000002E-2</v>
      </c>
      <c r="R30" s="71">
        <v>1.1799390599999999</v>
      </c>
      <c r="S30" s="71">
        <v>8.50451406</v>
      </c>
      <c r="T30" s="71">
        <v>9.8863080599999993</v>
      </c>
      <c r="U30" s="72" t="s">
        <v>1</v>
      </c>
      <c r="V30" s="73" t="s">
        <v>1</v>
      </c>
      <c r="W30" s="74"/>
      <c r="X30" s="1"/>
    </row>
    <row r="31" spans="2:37" x14ac:dyDescent="0.2">
      <c r="G31" s="1" t="s">
        <v>114</v>
      </c>
      <c r="H31" s="56" t="s">
        <v>115</v>
      </c>
      <c r="I31" s="62">
        <f t="shared" ref="I31:T31" si="14">STDEV(I19:I28)</f>
        <v>10.24387405016069</v>
      </c>
      <c r="J31" s="62">
        <f t="shared" si="14"/>
        <v>8.7688843836222077</v>
      </c>
      <c r="K31" s="62">
        <f t="shared" si="14"/>
        <v>11.491553854897084</v>
      </c>
      <c r="L31" s="62">
        <f t="shared" si="14"/>
        <v>12.42548617425757</v>
      </c>
      <c r="M31" s="62">
        <f t="shared" si="14"/>
        <v>11.374658431990145</v>
      </c>
      <c r="N31" s="62">
        <f t="shared" si="14"/>
        <v>10.001069942761116</v>
      </c>
      <c r="O31" s="62">
        <f t="shared" si="14"/>
        <v>10.891725962603203</v>
      </c>
      <c r="P31" s="62">
        <f t="shared" si="14"/>
        <v>9.0494260100357167</v>
      </c>
      <c r="Q31" s="62">
        <f t="shared" si="14"/>
        <v>10.271535425631351</v>
      </c>
      <c r="R31" s="62">
        <f t="shared" si="14"/>
        <v>10.357398643803705</v>
      </c>
      <c r="S31" s="62">
        <f t="shared" si="14"/>
        <v>6.6761828748004239</v>
      </c>
      <c r="T31" s="62">
        <f t="shared" si="14"/>
        <v>8.2419590443588309</v>
      </c>
      <c r="U31" s="74"/>
      <c r="V31" s="74"/>
      <c r="W31" s="74"/>
      <c r="X31" s="1"/>
    </row>
    <row r="32" spans="2:37" x14ac:dyDescent="0.2">
      <c r="G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7:29" x14ac:dyDescent="0.2">
      <c r="G33" s="1"/>
      <c r="J33" s="1"/>
      <c r="K33" s="1"/>
      <c r="L33" s="48"/>
      <c r="M33" s="50" t="s">
        <v>20</v>
      </c>
      <c r="N33" s="50" t="s">
        <v>21</v>
      </c>
      <c r="O33" s="10" t="s">
        <v>19</v>
      </c>
      <c r="P33" s="10" t="s">
        <v>22</v>
      </c>
      <c r="Q33" s="1"/>
      <c r="R33" s="1"/>
      <c r="S33" s="1"/>
      <c r="T33" s="1"/>
      <c r="U33" s="1"/>
      <c r="V33" s="1"/>
      <c r="W33" s="1"/>
      <c r="X33" s="1"/>
      <c r="Y33" s="1"/>
    </row>
    <row r="34" spans="7:29" x14ac:dyDescent="0.2">
      <c r="G34" s="1"/>
      <c r="H34" s="42" t="s">
        <v>18</v>
      </c>
      <c r="I34" s="43">
        <v>10</v>
      </c>
      <c r="J34" s="1"/>
      <c r="K34" s="1"/>
      <c r="L34" s="49" t="s">
        <v>27</v>
      </c>
      <c r="M34" s="52">
        <f>SUM(I30:T30)*I34</f>
        <v>324.68546220000002</v>
      </c>
      <c r="N34" s="53">
        <v>11</v>
      </c>
      <c r="O34" s="53" t="s">
        <v>28</v>
      </c>
      <c r="P34" s="52">
        <f>M34/(I35-1)</f>
        <v>29.5168602</v>
      </c>
      <c r="Q34" s="1"/>
      <c r="R34" s="1"/>
      <c r="S34" s="1"/>
      <c r="T34" s="186"/>
      <c r="U34" s="186"/>
      <c r="V34" s="19"/>
      <c r="W34" s="32" t="s">
        <v>23</v>
      </c>
      <c r="X34" s="33"/>
      <c r="Y34" s="34" t="s">
        <v>24</v>
      </c>
      <c r="Z34" s="34">
        <f>N34</f>
        <v>11</v>
      </c>
      <c r="AA34" s="35" t="s">
        <v>25</v>
      </c>
      <c r="AB34" s="35">
        <f>N36</f>
        <v>99</v>
      </c>
      <c r="AC34" s="36"/>
    </row>
    <row r="35" spans="7:29" x14ac:dyDescent="0.2">
      <c r="G35" s="1"/>
      <c r="H35" s="44" t="s">
        <v>26</v>
      </c>
      <c r="I35" s="45">
        <v>12</v>
      </c>
      <c r="J35" s="1"/>
      <c r="K35" s="1"/>
      <c r="L35" s="49" t="s">
        <v>32</v>
      </c>
      <c r="M35" s="10">
        <f>SUM(V19:V28)*I35</f>
        <v>8149.3508157219976</v>
      </c>
      <c r="N35" s="50">
        <v>9</v>
      </c>
      <c r="O35" s="51" t="s">
        <v>33</v>
      </c>
      <c r="P35" s="10">
        <f>M35/(I34-1)</f>
        <v>905.48342396911085</v>
      </c>
      <c r="Q35" s="1"/>
      <c r="R35" s="1"/>
      <c r="S35" s="1"/>
      <c r="T35" s="1"/>
      <c r="U35" s="11"/>
      <c r="V35" s="11"/>
      <c r="W35" s="37" t="s">
        <v>29</v>
      </c>
      <c r="X35" s="11"/>
      <c r="Y35" s="11" t="s">
        <v>30</v>
      </c>
      <c r="Z35">
        <f>P34/P36</f>
        <v>1.2605113188645765E-2</v>
      </c>
      <c r="AC35" s="38"/>
    </row>
    <row r="36" spans="7:29" ht="18" customHeight="1" x14ac:dyDescent="0.2">
      <c r="G36" s="1"/>
      <c r="H36" s="46" t="s">
        <v>31</v>
      </c>
      <c r="I36" s="47">
        <v>48.845750000000002</v>
      </c>
      <c r="J36" s="1"/>
      <c r="K36" s="1"/>
      <c r="L36" s="49" t="s">
        <v>37</v>
      </c>
      <c r="M36" s="10">
        <f>SUM(Z19:AK28)</f>
        <v>2862.026062500001</v>
      </c>
      <c r="N36" s="50">
        <f>N34*N35</f>
        <v>99</v>
      </c>
      <c r="O36" s="50" t="s">
        <v>38</v>
      </c>
      <c r="P36" s="9">
        <f>$M36/($I$35-1)*($I$34-1)</f>
        <v>2341.6576875000005</v>
      </c>
      <c r="R36" s="1"/>
      <c r="S36" s="1"/>
      <c r="T36" s="1"/>
      <c r="U36" s="12"/>
      <c r="V36" s="1"/>
      <c r="W36" s="184" t="s">
        <v>34</v>
      </c>
      <c r="X36" s="185"/>
      <c r="Y36" s="23" t="s">
        <v>35</v>
      </c>
      <c r="Z36" s="39">
        <v>1.88</v>
      </c>
      <c r="AA36" s="40" t="s">
        <v>36</v>
      </c>
      <c r="AB36" s="40"/>
      <c r="AC36" s="41">
        <f>FINV(0.05,Z34,AB34)</f>
        <v>1.8866836029647389</v>
      </c>
    </row>
    <row r="37" spans="7:29" x14ac:dyDescent="0.2">
      <c r="G37" s="1"/>
      <c r="H37" s="1"/>
      <c r="I37" s="1"/>
      <c r="J37" s="1"/>
      <c r="K37" s="1"/>
      <c r="L37" s="49" t="s">
        <v>39</v>
      </c>
      <c r="M37" s="10">
        <f>SUM(M34:M36)</f>
        <v>11336.062340421999</v>
      </c>
      <c r="N37" s="50">
        <f>I34*I35-1</f>
        <v>119</v>
      </c>
      <c r="O37" s="50" t="s">
        <v>40</v>
      </c>
      <c r="P37" s="10">
        <f>M37/(I34*I35-1)</f>
        <v>95.261028070773094</v>
      </c>
      <c r="Q37" s="1"/>
      <c r="R37" s="1"/>
      <c r="S37" s="1"/>
      <c r="T37" s="1"/>
      <c r="U37" s="1"/>
      <c r="V37" s="1"/>
      <c r="W37" s="1"/>
      <c r="X37" s="1"/>
      <c r="Y37" s="1"/>
    </row>
    <row r="38" spans="7:29" x14ac:dyDescent="0.2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7:29" x14ac:dyDescent="0.2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9"/>
      <c r="V39" s="1"/>
      <c r="W39" s="1"/>
      <c r="X39" s="1"/>
      <c r="Y39" s="1"/>
    </row>
    <row r="40" spans="7:29" x14ac:dyDescent="0.2">
      <c r="G40" s="1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7:29" x14ac:dyDescent="0.2">
      <c r="G41" s="1"/>
      <c r="H41" s="1"/>
      <c r="I41" s="1"/>
      <c r="J41" s="1"/>
      <c r="K41" s="1"/>
      <c r="L41" s="1"/>
      <c r="M41" s="1"/>
      <c r="N41" s="1"/>
      <c r="O41" s="21"/>
      <c r="P41" s="1"/>
      <c r="Q41" s="1"/>
      <c r="R41" s="1"/>
      <c r="S41" s="1"/>
      <c r="T41" s="1"/>
      <c r="U41" s="1"/>
      <c r="V41" s="1"/>
      <c r="W41" s="32" t="s">
        <v>41</v>
      </c>
      <c r="X41" s="33"/>
      <c r="Y41" s="34" t="s">
        <v>24</v>
      </c>
      <c r="Z41" s="34">
        <f>N35</f>
        <v>9</v>
      </c>
      <c r="AA41" s="35" t="s">
        <v>25</v>
      </c>
      <c r="AB41" s="35">
        <f>N36</f>
        <v>99</v>
      </c>
      <c r="AC41" s="36"/>
    </row>
    <row r="42" spans="7:29" x14ac:dyDescent="0.2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37" t="s">
        <v>29</v>
      </c>
      <c r="X42" s="11"/>
      <c r="Y42" s="11" t="s">
        <v>30</v>
      </c>
      <c r="Z42">
        <f>P35/P36</f>
        <v>0.38668479547743917</v>
      </c>
      <c r="AC42" s="38"/>
    </row>
    <row r="43" spans="7:29" ht="13.5" customHeight="1" x14ac:dyDescent="0.2">
      <c r="G43" s="1"/>
      <c r="H43" s="1"/>
      <c r="I43" s="1"/>
      <c r="J43" s="1"/>
      <c r="K43" s="1"/>
      <c r="L43" s="1"/>
      <c r="M43" s="1"/>
      <c r="N43" s="1"/>
      <c r="O43" s="1"/>
      <c r="P43" s="1"/>
      <c r="Q43" s="186"/>
      <c r="R43" s="186"/>
      <c r="S43" s="1"/>
      <c r="T43" s="1"/>
      <c r="U43" s="1"/>
      <c r="V43" s="1"/>
      <c r="W43" s="184" t="s">
        <v>34</v>
      </c>
      <c r="X43" s="185"/>
      <c r="Y43" s="23" t="s">
        <v>42</v>
      </c>
      <c r="Z43" s="39">
        <v>1.97</v>
      </c>
      <c r="AA43" s="40" t="s">
        <v>43</v>
      </c>
      <c r="AB43" s="40"/>
      <c r="AC43" s="41">
        <f>FINV(0.05,Z41,AB41)</f>
        <v>1.9758060734376721</v>
      </c>
    </row>
    <row r="44" spans="7:29" x14ac:dyDescent="0.2">
      <c r="G44" s="1"/>
      <c r="H44" s="1"/>
      <c r="I44" s="1"/>
      <c r="J44" s="1"/>
      <c r="K44" s="1"/>
      <c r="L44" s="1"/>
      <c r="M44" s="1"/>
      <c r="N44" s="1"/>
      <c r="O44" s="1"/>
      <c r="P44" s="1"/>
      <c r="Q44" s="186"/>
      <c r="R44" s="186"/>
      <c r="S44" s="1"/>
      <c r="T44" s="1"/>
      <c r="U44" s="1"/>
      <c r="V44" s="1"/>
      <c r="W44" s="1"/>
      <c r="X44" s="1"/>
      <c r="Y44" s="1"/>
    </row>
    <row r="45" spans="7:29" x14ac:dyDescent="0.2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7:29" x14ac:dyDescent="0.2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</sheetData>
  <mergeCells count="5">
    <mergeCell ref="W36:X36"/>
    <mergeCell ref="W43:X43"/>
    <mergeCell ref="Q43:R44"/>
    <mergeCell ref="T34:U34"/>
    <mergeCell ref="B24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966A-08CC-4063-9C0A-8C57EA76ADCA}">
  <dimension ref="B4:P24"/>
  <sheetViews>
    <sheetView topLeftCell="A18" workbookViewId="0">
      <selection activeCell="O25" sqref="O25"/>
    </sheetView>
  </sheetViews>
  <sheetFormatPr baseColWidth="10" defaultColWidth="8.83203125" defaultRowHeight="15" x14ac:dyDescent="0.2"/>
  <sheetData>
    <row r="4" spans="2:16" x14ac:dyDescent="0.2">
      <c r="B4" s="6" t="s">
        <v>116</v>
      </c>
      <c r="C4" s="6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">
      <c r="B5" s="1"/>
      <c r="C5" s="1"/>
      <c r="D5" s="1"/>
      <c r="E5" s="1"/>
      <c r="F5" s="1"/>
      <c r="G5" s="1"/>
      <c r="H5" s="1"/>
      <c r="I5" s="1"/>
      <c r="J5" s="11" t="s">
        <v>117</v>
      </c>
      <c r="K5" s="11"/>
      <c r="L5" s="11"/>
      <c r="M5" s="11"/>
      <c r="N5" s="11"/>
      <c r="O5" s="1"/>
      <c r="P5" s="1"/>
    </row>
    <row r="6" spans="2:16" ht="29" x14ac:dyDescent="0.2">
      <c r="B6" s="12"/>
      <c r="C6" s="13" t="s">
        <v>118</v>
      </c>
      <c r="D6" s="14" t="s">
        <v>119</v>
      </c>
      <c r="E6" s="14" t="s">
        <v>120</v>
      </c>
      <c r="F6" s="14" t="s">
        <v>121</v>
      </c>
      <c r="G6" s="14" t="s">
        <v>122</v>
      </c>
      <c r="H6" s="14" t="s">
        <v>123</v>
      </c>
      <c r="I6" s="1"/>
      <c r="J6" s="11"/>
      <c r="K6" s="12" t="s">
        <v>118</v>
      </c>
      <c r="L6" s="12" t="s">
        <v>119</v>
      </c>
      <c r="M6" s="12" t="s">
        <v>120</v>
      </c>
      <c r="N6" s="12" t="s">
        <v>121</v>
      </c>
      <c r="O6" s="1"/>
      <c r="P6" s="1"/>
    </row>
    <row r="7" spans="2:16" x14ac:dyDescent="0.2">
      <c r="B7" s="15">
        <v>1993</v>
      </c>
      <c r="C7" s="16">
        <v>1248</v>
      </c>
      <c r="D7" s="16">
        <v>1392</v>
      </c>
      <c r="E7" s="16">
        <v>1057</v>
      </c>
      <c r="F7" s="16">
        <v>3159</v>
      </c>
      <c r="G7" s="16">
        <v>1714</v>
      </c>
      <c r="H7" s="16">
        <v>4400.1099999999997</v>
      </c>
      <c r="I7" s="1"/>
      <c r="J7" s="11">
        <v>1993</v>
      </c>
      <c r="K7" s="11">
        <v>7980.44</v>
      </c>
      <c r="L7" s="11">
        <v>455.11</v>
      </c>
      <c r="M7" s="11">
        <v>20258.78</v>
      </c>
      <c r="N7" s="11">
        <v>1002.78</v>
      </c>
      <c r="O7" s="1"/>
      <c r="P7" s="1"/>
    </row>
    <row r="8" spans="2:16" x14ac:dyDescent="0.2">
      <c r="B8" s="17">
        <v>1994</v>
      </c>
      <c r="C8" s="16">
        <v>891</v>
      </c>
      <c r="D8" s="16">
        <v>1065</v>
      </c>
      <c r="E8" s="16">
        <v>1118</v>
      </c>
      <c r="F8" s="16">
        <v>2934</v>
      </c>
      <c r="G8" s="16">
        <v>1502</v>
      </c>
      <c r="H8" s="16">
        <v>21218.78</v>
      </c>
      <c r="I8" s="1"/>
      <c r="J8" s="11">
        <v>1994</v>
      </c>
      <c r="K8" s="11">
        <v>3098.78</v>
      </c>
      <c r="L8" s="11">
        <v>8773.44</v>
      </c>
      <c r="M8" s="11">
        <v>17073.78</v>
      </c>
      <c r="N8" s="11">
        <v>348.44</v>
      </c>
      <c r="O8" s="1"/>
      <c r="P8" s="1"/>
    </row>
    <row r="9" spans="2:16" x14ac:dyDescent="0.2">
      <c r="B9" s="17">
        <v>1995</v>
      </c>
      <c r="C9" s="16">
        <v>1138</v>
      </c>
      <c r="D9" s="16">
        <v>1456</v>
      </c>
      <c r="E9" s="16">
        <v>1224</v>
      </c>
      <c r="F9" s="16">
        <v>3090</v>
      </c>
      <c r="G9" s="16">
        <v>1727</v>
      </c>
      <c r="H9" s="16">
        <v>6293.78</v>
      </c>
      <c r="I9" s="1"/>
      <c r="J9" s="11">
        <v>1995</v>
      </c>
      <c r="K9" s="11">
        <v>1133.44</v>
      </c>
      <c r="L9" s="11">
        <v>5232.1099999999997</v>
      </c>
      <c r="M9" s="11">
        <v>136.11000000000001</v>
      </c>
      <c r="N9" s="11">
        <v>2533.44</v>
      </c>
      <c r="O9" s="1"/>
      <c r="P9" s="1"/>
    </row>
    <row r="10" spans="2:16" ht="29" x14ac:dyDescent="0.2">
      <c r="B10" s="18" t="s">
        <v>124</v>
      </c>
      <c r="C10" s="16">
        <v>1092.33</v>
      </c>
      <c r="D10" s="16">
        <v>1304.33</v>
      </c>
      <c r="E10" s="16">
        <v>1133</v>
      </c>
      <c r="F10" s="16">
        <v>3061</v>
      </c>
      <c r="G10" s="16">
        <v>1647.67</v>
      </c>
      <c r="H10" s="11"/>
      <c r="I10" s="1"/>
      <c r="J10" s="11"/>
      <c r="K10" s="11"/>
      <c r="L10" s="11"/>
      <c r="M10" s="11"/>
      <c r="N10" s="11"/>
      <c r="O10" s="1"/>
      <c r="P10" s="1"/>
    </row>
    <row r="11" spans="2:16" ht="43" x14ac:dyDescent="0.2">
      <c r="B11" s="18" t="s">
        <v>125</v>
      </c>
      <c r="C11" s="16">
        <v>308395.11</v>
      </c>
      <c r="D11" s="16">
        <v>117877.78</v>
      </c>
      <c r="E11" s="16">
        <v>264881.78000000003</v>
      </c>
      <c r="F11" s="16">
        <v>1997511.11</v>
      </c>
      <c r="G11" s="1"/>
      <c r="H11" s="11"/>
      <c r="I11" s="1"/>
      <c r="J11" s="1"/>
      <c r="K11" s="1"/>
      <c r="L11" s="1"/>
      <c r="M11" s="1"/>
      <c r="N11" s="1"/>
      <c r="O11" s="1"/>
      <c r="P11" s="1"/>
    </row>
    <row r="12" spans="2:16" x14ac:dyDescent="0.2">
      <c r="B12" s="11"/>
      <c r="C12" s="11"/>
      <c r="D12" s="11"/>
      <c r="E12" s="11"/>
      <c r="F12" s="11"/>
      <c r="G12" s="11"/>
      <c r="H12" s="11"/>
      <c r="I12" s="1"/>
      <c r="J12" s="1"/>
      <c r="K12" s="1"/>
      <c r="L12" s="1"/>
      <c r="M12" s="1"/>
      <c r="N12" s="1"/>
      <c r="O12" s="1"/>
      <c r="P12" s="1"/>
    </row>
    <row r="13" spans="2:16" x14ac:dyDescent="0.2">
      <c r="B13" s="11" t="s">
        <v>18</v>
      </c>
      <c r="C13" s="11" t="s">
        <v>126</v>
      </c>
      <c r="D13" s="11"/>
      <c r="E13" s="11">
        <v>3</v>
      </c>
      <c r="F13" s="11"/>
      <c r="G13" s="11"/>
      <c r="H13" s="11"/>
      <c r="I13" s="1"/>
      <c r="J13" s="1"/>
      <c r="K13" s="1"/>
      <c r="L13" s="1"/>
      <c r="M13" s="1"/>
      <c r="N13" s="1"/>
      <c r="O13" s="1"/>
      <c r="P13" s="1"/>
    </row>
    <row r="14" spans="2:16" x14ac:dyDescent="0.2">
      <c r="B14" s="11" t="s">
        <v>26</v>
      </c>
      <c r="C14" s="11" t="s">
        <v>127</v>
      </c>
      <c r="D14" s="11"/>
      <c r="E14" s="11">
        <v>4</v>
      </c>
      <c r="F14" s="11"/>
      <c r="G14" s="11"/>
      <c r="H14" s="11"/>
      <c r="I14" s="1"/>
      <c r="J14" s="1"/>
      <c r="K14" s="1"/>
      <c r="L14" s="1"/>
      <c r="M14" s="1"/>
      <c r="N14" s="1"/>
      <c r="O14" s="1"/>
      <c r="P14" s="1"/>
    </row>
    <row r="15" spans="2:16" x14ac:dyDescent="0.2">
      <c r="B15" s="11" t="s">
        <v>31</v>
      </c>
      <c r="C15" s="11" t="s">
        <v>128</v>
      </c>
      <c r="D15" s="11"/>
      <c r="E15" s="11">
        <v>1647.67</v>
      </c>
      <c r="F15" s="11"/>
      <c r="G15" s="11"/>
      <c r="H15" s="11"/>
      <c r="I15" s="19" t="s">
        <v>23</v>
      </c>
      <c r="J15" s="19"/>
      <c r="K15" s="11" t="s">
        <v>24</v>
      </c>
      <c r="L15" s="11">
        <v>3</v>
      </c>
      <c r="M15" s="1" t="s">
        <v>25</v>
      </c>
      <c r="N15" s="1">
        <v>6</v>
      </c>
      <c r="O15" s="1"/>
      <c r="P15" s="1"/>
    </row>
    <row r="16" spans="2:16" x14ac:dyDescent="0.2">
      <c r="B16" s="11"/>
      <c r="C16" s="11"/>
      <c r="D16" s="11"/>
      <c r="E16" s="11"/>
      <c r="F16" s="11"/>
      <c r="G16" s="11"/>
      <c r="H16" s="11"/>
      <c r="I16" s="11" t="s">
        <v>29</v>
      </c>
      <c r="J16" s="11" t="s">
        <v>30</v>
      </c>
      <c r="K16" s="11">
        <v>237.14</v>
      </c>
      <c r="L16" s="11"/>
      <c r="M16" s="1"/>
      <c r="N16" s="1"/>
      <c r="O16" s="1"/>
      <c r="P16" s="1"/>
    </row>
    <row r="17" spans="2:16" ht="43" x14ac:dyDescent="0.2">
      <c r="B17" s="12"/>
      <c r="C17" s="13" t="s">
        <v>129</v>
      </c>
      <c r="D17" s="14" t="s">
        <v>130</v>
      </c>
      <c r="E17" s="14" t="s">
        <v>19</v>
      </c>
      <c r="F17" s="14" t="s">
        <v>22</v>
      </c>
      <c r="G17" s="12"/>
      <c r="H17" s="12"/>
      <c r="I17" s="12" t="s">
        <v>34</v>
      </c>
      <c r="J17" s="1"/>
      <c r="K17" s="11">
        <v>4.76</v>
      </c>
      <c r="L17" s="19" t="s">
        <v>131</v>
      </c>
      <c r="M17" s="19"/>
      <c r="N17" s="1"/>
      <c r="O17" s="11">
        <v>4.7570626630000001</v>
      </c>
      <c r="P17" s="1"/>
    </row>
    <row r="18" spans="2:16" ht="29" x14ac:dyDescent="0.2">
      <c r="B18" s="15" t="s">
        <v>27</v>
      </c>
      <c r="C18" s="16">
        <v>8065997.3300000001</v>
      </c>
      <c r="D18" s="16">
        <v>3</v>
      </c>
      <c r="E18" s="20" t="s">
        <v>132</v>
      </c>
      <c r="F18" s="16">
        <v>2688665.78</v>
      </c>
      <c r="G18" s="11"/>
      <c r="H18" s="11"/>
      <c r="I18" s="11"/>
      <c r="J18" s="11"/>
      <c r="K18" s="11"/>
      <c r="L18" s="11"/>
      <c r="M18" s="1"/>
      <c r="N18" s="1"/>
      <c r="O18" s="1"/>
      <c r="P18" s="1"/>
    </row>
    <row r="19" spans="2:16" ht="29" x14ac:dyDescent="0.2">
      <c r="B19" s="17" t="s">
        <v>32</v>
      </c>
      <c r="C19" s="16">
        <v>127650.67</v>
      </c>
      <c r="D19" s="16">
        <v>2</v>
      </c>
      <c r="E19" s="20" t="s">
        <v>133</v>
      </c>
      <c r="F19" s="16">
        <v>63825.33</v>
      </c>
      <c r="G19" s="11"/>
      <c r="H19" s="11"/>
      <c r="I19" s="19" t="s">
        <v>41</v>
      </c>
      <c r="J19" s="19"/>
      <c r="K19" s="11" t="s">
        <v>24</v>
      </c>
      <c r="L19" s="11">
        <v>2</v>
      </c>
      <c r="M19" s="1" t="s">
        <v>25</v>
      </c>
      <c r="N19" s="1">
        <v>6</v>
      </c>
      <c r="O19" s="1"/>
      <c r="P19" s="1"/>
    </row>
    <row r="20" spans="2:16" ht="29" x14ac:dyDescent="0.2">
      <c r="B20" s="17" t="s">
        <v>37</v>
      </c>
      <c r="C20" s="16">
        <v>68026.67</v>
      </c>
      <c r="D20" s="16">
        <v>6</v>
      </c>
      <c r="E20" s="20" t="s">
        <v>134</v>
      </c>
      <c r="F20" s="16">
        <v>11337.78</v>
      </c>
      <c r="G20" s="11"/>
      <c r="H20" s="11"/>
      <c r="I20" s="11" t="s">
        <v>29</v>
      </c>
      <c r="J20" s="11" t="s">
        <v>30</v>
      </c>
      <c r="K20" s="11">
        <v>5.63</v>
      </c>
      <c r="L20" s="11"/>
      <c r="M20" s="1"/>
      <c r="N20" s="1"/>
      <c r="O20" s="1"/>
      <c r="P20" s="1"/>
    </row>
    <row r="21" spans="2:16" ht="43" x14ac:dyDescent="0.2">
      <c r="B21" s="17" t="s">
        <v>39</v>
      </c>
      <c r="C21" s="16">
        <v>8261674.6699999999</v>
      </c>
      <c r="D21" s="16">
        <v>11</v>
      </c>
      <c r="E21" s="20" t="s">
        <v>135</v>
      </c>
      <c r="F21" s="16">
        <v>751061.33</v>
      </c>
      <c r="G21" s="11"/>
      <c r="H21" s="11"/>
      <c r="I21" s="12" t="s">
        <v>34</v>
      </c>
      <c r="J21" s="1"/>
      <c r="K21" s="11">
        <v>5.14</v>
      </c>
      <c r="L21" s="19" t="s">
        <v>136</v>
      </c>
      <c r="M21" s="19"/>
      <c r="N21" s="1"/>
      <c r="O21" s="11">
        <v>5.1432528499999997</v>
      </c>
      <c r="P21" s="1"/>
    </row>
    <row r="22" spans="2:1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x14ac:dyDescent="0.2">
      <c r="B24" s="11"/>
      <c r="C24" s="1"/>
      <c r="D24" s="11"/>
      <c r="E24" s="11"/>
      <c r="F24" s="11">
        <v>751061.33330000006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80F0-FE1F-4D7E-A27F-A49599957134}">
  <dimension ref="B3:N26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2.83203125" customWidth="1"/>
    <col min="2" max="2" width="11.33203125" customWidth="1"/>
    <col min="3" max="3" width="12" customWidth="1"/>
    <col min="13" max="13" width="9.33203125" bestFit="1" customWidth="1"/>
  </cols>
  <sheetData>
    <row r="3" spans="2:14" x14ac:dyDescent="0.2">
      <c r="E3" s="173" t="s">
        <v>137</v>
      </c>
      <c r="F3" s="188"/>
    </row>
    <row r="4" spans="2:14" x14ac:dyDescent="0.2">
      <c r="B4" s="9" t="s">
        <v>138</v>
      </c>
      <c r="C4" s="145" t="s">
        <v>139</v>
      </c>
    </row>
    <row r="5" spans="2:14" x14ac:dyDescent="0.2">
      <c r="B5" s="9" t="s">
        <v>140</v>
      </c>
      <c r="C5" s="145" t="s">
        <v>141</v>
      </c>
    </row>
    <row r="6" spans="2:14" x14ac:dyDescent="0.2">
      <c r="B6" s="146" t="s">
        <v>142</v>
      </c>
      <c r="C6" s="147">
        <v>1</v>
      </c>
    </row>
    <row r="7" spans="2:14" x14ac:dyDescent="0.2">
      <c r="B7" s="154" t="s">
        <v>143</v>
      </c>
      <c r="C7" s="151" t="s">
        <v>144</v>
      </c>
    </row>
    <row r="10" spans="2:14" x14ac:dyDescent="0.2">
      <c r="B10" s="9"/>
      <c r="C10" s="148">
        <v>4.1429999999999998</v>
      </c>
      <c r="D10" s="77">
        <v>3.9609999999999999</v>
      </c>
      <c r="E10" s="77">
        <v>3.95</v>
      </c>
      <c r="F10" s="77">
        <v>3.9060000000000001</v>
      </c>
      <c r="G10" s="77">
        <v>3.972</v>
      </c>
      <c r="H10" s="77">
        <v>3.8149999999999999</v>
      </c>
      <c r="I10" s="77">
        <v>3.8290000000000002</v>
      </c>
      <c r="J10" s="78">
        <v>3.839</v>
      </c>
      <c r="K10" s="79">
        <v>3.7749999999999999</v>
      </c>
      <c r="L10" s="79">
        <v>3.8610000000000002</v>
      </c>
      <c r="M10" s="79">
        <v>3.9780000000000002</v>
      </c>
      <c r="N10" s="79">
        <v>3.9750000000000001</v>
      </c>
    </row>
    <row r="11" spans="2:14" x14ac:dyDescent="0.2">
      <c r="B11" s="153">
        <v>2022</v>
      </c>
      <c r="C11" s="149">
        <f>EXP(C10)</f>
        <v>62.991512809070571</v>
      </c>
      <c r="D11" s="76">
        <f t="shared" ref="D11:M11" si="0">EXP(D10)</f>
        <v>52.509809512456187</v>
      </c>
      <c r="E11" s="76">
        <f t="shared" si="0"/>
        <v>51.935366834831441</v>
      </c>
      <c r="F11" s="76">
        <f t="shared" si="0"/>
        <v>49.699754825406366</v>
      </c>
      <c r="G11" s="76">
        <f t="shared" si="0"/>
        <v>53.090605941098566</v>
      </c>
      <c r="H11" s="76">
        <f t="shared" si="0"/>
        <v>45.376756382947249</v>
      </c>
      <c r="I11" s="76">
        <f t="shared" si="0"/>
        <v>46.016498719574216</v>
      </c>
      <c r="J11" s="76">
        <f t="shared" si="0"/>
        <v>46.478972220334327</v>
      </c>
      <c r="K11" s="76">
        <f>EXP(K10)</f>
        <v>43.597508315723488</v>
      </c>
      <c r="L11" s="76">
        <f t="shared" si="0"/>
        <v>47.512840460810942</v>
      </c>
      <c r="M11" s="76">
        <f t="shared" si="0"/>
        <v>53.410107121784264</v>
      </c>
      <c r="N11" s="76">
        <f>EXP(N10)</f>
        <v>53.250116905735624</v>
      </c>
    </row>
    <row r="12" spans="2:14" x14ac:dyDescent="0.2">
      <c r="B12" s="153" t="s">
        <v>137</v>
      </c>
      <c r="C12" s="150">
        <v>60.796660000000003</v>
      </c>
      <c r="D12" s="9">
        <v>61.302819999999997</v>
      </c>
      <c r="E12" s="9">
        <v>56.917319999999997</v>
      </c>
      <c r="F12" s="9">
        <v>57.68235</v>
      </c>
      <c r="G12" s="9">
        <v>56.973739999999999</v>
      </c>
      <c r="H12" s="9">
        <v>55.396619999999999</v>
      </c>
      <c r="I12" s="9">
        <v>55.86018</v>
      </c>
      <c r="J12" s="9">
        <v>56.95194</v>
      </c>
      <c r="K12" s="9">
        <v>59.218510000000002</v>
      </c>
      <c r="L12" s="9">
        <v>61.477449999999997</v>
      </c>
      <c r="M12" s="9">
        <v>64.712389999999999</v>
      </c>
      <c r="N12" s="9">
        <v>65.103970000000004</v>
      </c>
    </row>
    <row r="13" spans="2:14" x14ac:dyDescent="0.2">
      <c r="B13" t="s">
        <v>85</v>
      </c>
    </row>
    <row r="17" spans="2:14" x14ac:dyDescent="0.2">
      <c r="E17" s="189" t="s">
        <v>145</v>
      </c>
      <c r="F17" s="189"/>
      <c r="G17" s="189"/>
      <c r="H17" s="189"/>
    </row>
    <row r="19" spans="2:14" x14ac:dyDescent="0.2">
      <c r="B19" s="136" t="s">
        <v>44</v>
      </c>
      <c r="C19" s="145">
        <v>0.51</v>
      </c>
    </row>
    <row r="20" spans="2:14" x14ac:dyDescent="0.2">
      <c r="B20" s="138" t="s">
        <v>48</v>
      </c>
      <c r="C20" s="145">
        <f>(1-C19)/C19</f>
        <v>0.96078431372549011</v>
      </c>
    </row>
    <row r="21" spans="2:14" x14ac:dyDescent="0.2">
      <c r="B21" s="154" t="s">
        <v>143</v>
      </c>
      <c r="C21" s="152" t="s">
        <v>146</v>
      </c>
    </row>
    <row r="24" spans="2:14" x14ac:dyDescent="0.2">
      <c r="B24" s="9"/>
      <c r="C24" s="155">
        <v>4.1429999999999998</v>
      </c>
      <c r="D24" s="155">
        <v>3.9609999999999999</v>
      </c>
      <c r="E24" s="155">
        <v>3.95</v>
      </c>
      <c r="F24" s="155">
        <v>3.9060000000000001</v>
      </c>
      <c r="G24" s="155">
        <v>3.972</v>
      </c>
      <c r="H24" s="155">
        <v>3.8149999999999999</v>
      </c>
      <c r="I24" s="155">
        <v>3.8290000000000002</v>
      </c>
      <c r="J24" s="156">
        <v>3.839</v>
      </c>
      <c r="K24" s="157">
        <v>3.7749999999999999</v>
      </c>
      <c r="L24" s="157">
        <v>3.8610000000000002</v>
      </c>
      <c r="M24" s="157">
        <v>3.9780000000000002</v>
      </c>
      <c r="N24" s="157">
        <v>3.9750000000000001</v>
      </c>
    </row>
    <row r="25" spans="2:14" x14ac:dyDescent="0.2">
      <c r="B25" s="153">
        <v>2022</v>
      </c>
      <c r="C25" s="76">
        <f>EXP(C24)</f>
        <v>62.991512809070571</v>
      </c>
      <c r="D25" s="76">
        <f t="shared" ref="D25:J25" si="1">EXP(D24)</f>
        <v>52.509809512456187</v>
      </c>
      <c r="E25" s="76">
        <f t="shared" si="1"/>
        <v>51.935366834831441</v>
      </c>
      <c r="F25" s="76">
        <f t="shared" si="1"/>
        <v>49.699754825406366</v>
      </c>
      <c r="G25" s="76">
        <f t="shared" si="1"/>
        <v>53.090605941098566</v>
      </c>
      <c r="H25" s="76">
        <f t="shared" si="1"/>
        <v>45.376756382947249</v>
      </c>
      <c r="I25" s="76">
        <f t="shared" si="1"/>
        <v>46.016498719574216</v>
      </c>
      <c r="J25" s="76">
        <f t="shared" si="1"/>
        <v>46.478972220334327</v>
      </c>
      <c r="K25" s="76">
        <f>EXP(K24)</f>
        <v>43.597508315723488</v>
      </c>
      <c r="L25" s="76">
        <f t="shared" ref="L25:M25" si="2">EXP(L24)</f>
        <v>47.512840460810942</v>
      </c>
      <c r="M25" s="76">
        <f t="shared" si="2"/>
        <v>53.410107121784264</v>
      </c>
      <c r="N25" s="76">
        <f>EXP(N24)</f>
        <v>53.250116905735624</v>
      </c>
    </row>
    <row r="26" spans="2:14" x14ac:dyDescent="0.2">
      <c r="B26" s="153" t="s">
        <v>147</v>
      </c>
      <c r="C26" s="145">
        <v>51.657462690000003</v>
      </c>
      <c r="D26" s="145">
        <v>53.515395779999999</v>
      </c>
      <c r="E26" s="145">
        <v>49.379944569999999</v>
      </c>
      <c r="F26" s="145">
        <v>51.81887502</v>
      </c>
      <c r="G26" s="145">
        <v>50.458970100000002</v>
      </c>
      <c r="H26" s="145">
        <v>50.154343830000002</v>
      </c>
      <c r="I26" s="145">
        <v>50.582648900000002</v>
      </c>
      <c r="J26" s="145">
        <v>50.791932670000001</v>
      </c>
      <c r="K26" s="145">
        <v>51.138909980000001</v>
      </c>
      <c r="L26" s="145">
        <v>51.397710570000001</v>
      </c>
      <c r="M26" s="145">
        <v>54.664232159999997</v>
      </c>
      <c r="N26" s="145">
        <v>55.928706560000002</v>
      </c>
    </row>
  </sheetData>
  <mergeCells count="2">
    <mergeCell ref="E3:F3"/>
    <mergeCell ref="E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Test_Seasonality</vt:lpstr>
      <vt:lpstr>Exponential_Smoothing</vt:lpstr>
      <vt:lpstr>Feuil5 (2)</vt:lpstr>
      <vt:lpstr>Feuil5</vt:lpstr>
      <vt:lpstr>Feuil1</vt:lpstr>
      <vt:lpstr>Feuil2</vt:lpstr>
      <vt:lpstr>Holt-Winter Additif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Sonimith HANG</cp:lastModifiedBy>
  <cp:revision/>
  <dcterms:created xsi:type="dcterms:W3CDTF">2023-10-11T08:00:55Z</dcterms:created>
  <dcterms:modified xsi:type="dcterms:W3CDTF">2024-02-16T09:33:30Z</dcterms:modified>
  <cp:category/>
  <cp:contentStatus/>
</cp:coreProperties>
</file>