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数据底稿" sheetId="1" r:id="rId1"/>
    <sheet name="非标类信贷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2" l="1"/>
  <c r="C36" i="2"/>
  <c r="D36" i="2" s="1"/>
  <c r="N2" i="1"/>
  <c r="C17" i="2" s="1"/>
  <c r="D17" i="2" s="1"/>
  <c r="N10" i="1"/>
  <c r="P56" i="1"/>
  <c r="C37" i="2" s="1"/>
  <c r="D37" i="2" s="1"/>
  <c r="I56" i="1"/>
  <c r="C34" i="2" s="1"/>
  <c r="D34" i="2" s="1"/>
  <c r="F56" i="1"/>
  <c r="C33" i="2" s="1"/>
  <c r="D33" i="2" s="1"/>
  <c r="R37" i="1"/>
  <c r="C31" i="2" s="1"/>
  <c r="D31" i="2" s="1"/>
  <c r="O37" i="1"/>
  <c r="C30" i="2" s="1"/>
  <c r="D30" i="2" s="1"/>
  <c r="L37" i="1"/>
  <c r="C32" i="2" s="1"/>
  <c r="D32" i="2" s="1"/>
  <c r="I37" i="1"/>
  <c r="C28" i="2" s="1"/>
  <c r="D28" i="2" s="1"/>
  <c r="W19" i="1"/>
  <c r="C25" i="2" s="1"/>
  <c r="D25" i="2" s="1"/>
  <c r="Q19" i="1"/>
  <c r="C24" i="2" s="1"/>
  <c r="D24" i="2" s="1"/>
  <c r="K2" i="1"/>
  <c r="C16" i="2" s="1"/>
  <c r="D16" i="2" s="1"/>
  <c r="B18" i="1"/>
  <c r="A67" i="2"/>
  <c r="F67" i="2" s="1"/>
  <c r="A63" i="2"/>
  <c r="F63" i="2" s="1"/>
  <c r="A59" i="2"/>
  <c r="F59" i="2" s="1"/>
  <c r="A56" i="2"/>
  <c r="F56" i="2" s="1"/>
  <c r="A52" i="2"/>
  <c r="F52" i="2" s="1"/>
  <c r="A48" i="2"/>
  <c r="F48" i="2" s="1"/>
  <c r="C67" i="2"/>
  <c r="G59" i="2"/>
  <c r="C56" i="2"/>
  <c r="G52" i="2"/>
  <c r="A51" i="2"/>
  <c r="E51" i="2" s="1"/>
  <c r="C48" i="2"/>
  <c r="A68" i="2"/>
  <c r="E67" i="2"/>
  <c r="A64" i="2"/>
  <c r="E63" i="2"/>
  <c r="A60" i="2"/>
  <c r="E59" i="2"/>
  <c r="A57" i="2"/>
  <c r="E56" i="2"/>
  <c r="A53" i="2"/>
  <c r="E52" i="2"/>
  <c r="H51" i="2"/>
  <c r="D51" i="2"/>
  <c r="A49" i="2"/>
  <c r="E48" i="2"/>
  <c r="A45" i="2"/>
  <c r="D68" i="2"/>
  <c r="G63" i="2"/>
  <c r="A62" i="2"/>
  <c r="D60" i="2"/>
  <c r="G56" i="2"/>
  <c r="A55" i="2"/>
  <c r="D53" i="2"/>
  <c r="F51" i="2"/>
  <c r="D49" i="2"/>
  <c r="H45" i="2"/>
  <c r="A69" i="2"/>
  <c r="E68" i="2"/>
  <c r="H67" i="2"/>
  <c r="D67" i="2"/>
  <c r="A65" i="2"/>
  <c r="E64" i="2"/>
  <c r="H63" i="2"/>
  <c r="D63" i="2"/>
  <c r="G62" i="2"/>
  <c r="C62" i="2"/>
  <c r="A61" i="2"/>
  <c r="E60" i="2"/>
  <c r="H59" i="2"/>
  <c r="D59" i="2"/>
  <c r="A58" i="2"/>
  <c r="E57" i="2"/>
  <c r="H56" i="2"/>
  <c r="D56" i="2"/>
  <c r="G55" i="2"/>
  <c r="C55" i="2"/>
  <c r="A54" i="2"/>
  <c r="E53" i="2"/>
  <c r="H52" i="2"/>
  <c r="D52" i="2"/>
  <c r="G51" i="2"/>
  <c r="C51" i="2"/>
  <c r="A50" i="2"/>
  <c r="E49" i="2"/>
  <c r="H48" i="2"/>
  <c r="D48" i="2"/>
  <c r="A46" i="2"/>
  <c r="E45" i="2"/>
  <c r="E69" i="2"/>
  <c r="G67" i="2"/>
  <c r="A66" i="2"/>
  <c r="H64" i="2"/>
  <c r="C63" i="2"/>
  <c r="E61" i="2"/>
  <c r="C59" i="2"/>
  <c r="H57" i="2"/>
  <c r="F55" i="2"/>
  <c r="H53" i="2"/>
  <c r="C52" i="2"/>
  <c r="E50" i="2"/>
  <c r="G48" i="2"/>
  <c r="A47" i="2"/>
  <c r="D45" i="2"/>
  <c r="F68" i="2"/>
  <c r="H68" i="2"/>
  <c r="C68" i="2"/>
  <c r="G68" i="2"/>
  <c r="F64" i="2"/>
  <c r="D64" i="2"/>
  <c r="C64" i="2"/>
  <c r="G64" i="2"/>
  <c r="F60" i="2"/>
  <c r="H60" i="2"/>
  <c r="C60" i="2"/>
  <c r="G60" i="2"/>
  <c r="F57" i="2"/>
  <c r="D57" i="2"/>
  <c r="C57" i="2"/>
  <c r="G57" i="2"/>
  <c r="F53" i="2"/>
  <c r="C53" i="2"/>
  <c r="G53" i="2"/>
  <c r="F49" i="2"/>
  <c r="H49" i="2"/>
  <c r="C49" i="2"/>
  <c r="G49" i="2"/>
  <c r="F45" i="2"/>
  <c r="C45" i="2"/>
  <c r="G45" i="2"/>
  <c r="D62" i="2"/>
  <c r="H62" i="2"/>
  <c r="F62" i="2"/>
  <c r="E62" i="2"/>
  <c r="D55" i="2"/>
  <c r="H55" i="2"/>
  <c r="E55" i="2"/>
  <c r="F69" i="2"/>
  <c r="C69" i="2"/>
  <c r="G69" i="2"/>
  <c r="D69" i="2"/>
  <c r="H69" i="2"/>
  <c r="F65" i="2"/>
  <c r="E65" i="2"/>
  <c r="C65" i="2"/>
  <c r="G65" i="2"/>
  <c r="D65" i="2"/>
  <c r="H65" i="2"/>
  <c r="F61" i="2"/>
  <c r="C61" i="2"/>
  <c r="G61" i="2"/>
  <c r="D61" i="2"/>
  <c r="H61" i="2"/>
  <c r="F58" i="2"/>
  <c r="E58" i="2"/>
  <c r="C58" i="2"/>
  <c r="G58" i="2"/>
  <c r="D58" i="2"/>
  <c r="F54" i="2"/>
  <c r="C54" i="2"/>
  <c r="G54" i="2"/>
  <c r="E54" i="2"/>
  <c r="D54" i="2"/>
  <c r="H54" i="2"/>
  <c r="F50" i="2"/>
  <c r="C50" i="2"/>
  <c r="G50" i="2"/>
  <c r="D50" i="2"/>
  <c r="H50" i="2"/>
  <c r="F46" i="2"/>
  <c r="C46" i="2"/>
  <c r="G46" i="2"/>
  <c r="E46" i="2"/>
  <c r="D46" i="2"/>
  <c r="H46" i="2"/>
  <c r="C66" i="2"/>
  <c r="G66" i="2"/>
  <c r="D66" i="2"/>
  <c r="H66" i="2"/>
  <c r="F66" i="2"/>
  <c r="E66" i="2"/>
  <c r="C47" i="2"/>
  <c r="G47" i="2"/>
  <c r="F47" i="2"/>
  <c r="D47" i="2"/>
  <c r="H47" i="2"/>
  <c r="E47" i="2"/>
  <c r="Q13" i="2" l="1"/>
  <c r="Q14" i="2"/>
  <c r="M69" i="2"/>
  <c r="M57" i="2"/>
  <c r="M49" i="2"/>
  <c r="M68" i="2"/>
  <c r="M64" i="2"/>
  <c r="M60" i="2"/>
  <c r="M56" i="2"/>
  <c r="M52" i="2"/>
  <c r="M48" i="2"/>
  <c r="M61" i="2"/>
  <c r="M67" i="2"/>
  <c r="M63" i="2"/>
  <c r="M59" i="2"/>
  <c r="M55" i="2"/>
  <c r="M51" i="2"/>
  <c r="M65" i="2"/>
  <c r="M53" i="2"/>
  <c r="M66" i="2"/>
  <c r="M62" i="2"/>
  <c r="M58" i="2"/>
  <c r="M54" i="2"/>
  <c r="M50" i="2"/>
  <c r="M46" i="2"/>
  <c r="M45" i="2"/>
  <c r="L47" i="2"/>
  <c r="M47" i="2"/>
  <c r="L45" i="2"/>
  <c r="K69" i="2"/>
  <c r="L69" i="2"/>
  <c r="K57" i="2"/>
  <c r="L57" i="2"/>
  <c r="K49" i="2"/>
  <c r="L49" i="2"/>
  <c r="K68" i="2"/>
  <c r="L68" i="2"/>
  <c r="K64" i="2"/>
  <c r="L64" i="2"/>
  <c r="K60" i="2"/>
  <c r="L60" i="2"/>
  <c r="K56" i="2"/>
  <c r="L56" i="2"/>
  <c r="K52" i="2"/>
  <c r="L52" i="2"/>
  <c r="K48" i="2"/>
  <c r="L48" i="2"/>
  <c r="K61" i="2"/>
  <c r="L61" i="2"/>
  <c r="K67" i="2"/>
  <c r="L67" i="2"/>
  <c r="K63" i="2"/>
  <c r="L63" i="2"/>
  <c r="K59" i="2"/>
  <c r="L59" i="2"/>
  <c r="K55" i="2"/>
  <c r="L55" i="2"/>
  <c r="K51" i="2"/>
  <c r="L51" i="2"/>
  <c r="K47" i="2"/>
  <c r="K65" i="2"/>
  <c r="L65" i="2"/>
  <c r="K53" i="2"/>
  <c r="L53" i="2"/>
  <c r="K66" i="2"/>
  <c r="L66" i="2"/>
  <c r="K62" i="2"/>
  <c r="L62" i="2"/>
  <c r="K58" i="2"/>
  <c r="L58" i="2"/>
  <c r="K54" i="2"/>
  <c r="L54" i="2"/>
  <c r="K50" i="2"/>
  <c r="L50" i="2"/>
  <c r="K46" i="2"/>
  <c r="L46" i="2"/>
  <c r="K45" i="2"/>
  <c r="J45" i="2"/>
  <c r="I69" i="2"/>
  <c r="J69" i="2"/>
  <c r="I57" i="2"/>
  <c r="J57" i="2"/>
  <c r="I49" i="2"/>
  <c r="J49" i="2"/>
  <c r="I68" i="2"/>
  <c r="E36" i="2" s="1"/>
  <c r="J68" i="2"/>
  <c r="I64" i="2"/>
  <c r="J64" i="2"/>
  <c r="I60" i="2"/>
  <c r="E28" i="2" s="1"/>
  <c r="J60" i="2"/>
  <c r="I56" i="2"/>
  <c r="J56" i="2"/>
  <c r="I52" i="2"/>
  <c r="J52" i="2"/>
  <c r="I48" i="2"/>
  <c r="J48" i="2"/>
  <c r="I61" i="2"/>
  <c r="J61" i="2"/>
  <c r="I67" i="2"/>
  <c r="J67" i="2"/>
  <c r="I63" i="2"/>
  <c r="E31" i="2" s="1"/>
  <c r="J63" i="2"/>
  <c r="I59" i="2"/>
  <c r="J59" i="2"/>
  <c r="I55" i="2"/>
  <c r="J55" i="2"/>
  <c r="I51" i="2"/>
  <c r="J51" i="2"/>
  <c r="I47" i="2"/>
  <c r="J47" i="2"/>
  <c r="I65" i="2"/>
  <c r="J65" i="2"/>
  <c r="I53" i="2"/>
  <c r="J53" i="2"/>
  <c r="I66" i="2"/>
  <c r="J66" i="2"/>
  <c r="I62" i="2"/>
  <c r="E30" i="2" s="1"/>
  <c r="J62" i="2"/>
  <c r="I58" i="2"/>
  <c r="J58" i="2"/>
  <c r="I54" i="2"/>
  <c r="J54" i="2"/>
  <c r="I50" i="2"/>
  <c r="J50" i="2"/>
  <c r="I46" i="2"/>
  <c r="J46" i="2"/>
  <c r="I45" i="2"/>
  <c r="E33" i="2"/>
  <c r="E17" i="2"/>
  <c r="E24" i="2"/>
  <c r="E32" i="2"/>
  <c r="E34" i="2"/>
  <c r="E16" i="2"/>
  <c r="E37" i="2"/>
  <c r="E35" i="2"/>
  <c r="P64" i="1"/>
  <c r="P66" i="1" s="1"/>
  <c r="I63" i="1"/>
  <c r="I65" i="1" s="1"/>
  <c r="B61" i="1"/>
  <c r="U47" i="1"/>
  <c r="R44" i="1"/>
  <c r="R46" i="1" s="1"/>
  <c r="O45" i="1"/>
  <c r="L48" i="1"/>
  <c r="L45" i="1"/>
  <c r="E2" i="1"/>
  <c r="C14" i="2" s="1"/>
  <c r="D14" i="2" s="1"/>
  <c r="B2" i="1"/>
  <c r="C13" i="2" s="1"/>
  <c r="D13" i="2" s="1"/>
  <c r="E13" i="2" s="1"/>
  <c r="I47" i="1"/>
  <c r="F44" i="1"/>
  <c r="F37" i="1" s="1"/>
  <c r="C27" i="2" s="1"/>
  <c r="D27" i="2" s="1"/>
  <c r="E27" i="2" s="1"/>
  <c r="B49" i="1"/>
  <c r="B47" i="1"/>
  <c r="B48" i="1" s="1"/>
  <c r="B37" i="1" s="1"/>
  <c r="C26" i="2" s="1"/>
  <c r="D26" i="2" s="1"/>
  <c r="E26" i="2" s="1"/>
  <c r="T28" i="1"/>
  <c r="T19" i="1" s="1"/>
  <c r="N26" i="1"/>
  <c r="N19" i="1" s="1"/>
  <c r="C23" i="2" s="1"/>
  <c r="D23" i="2" s="1"/>
  <c r="K26" i="1"/>
  <c r="K25" i="1"/>
  <c r="H30" i="1"/>
  <c r="H19" i="1" s="1"/>
  <c r="C20" i="2" s="1"/>
  <c r="D20" i="2" s="1"/>
  <c r="E27" i="1"/>
  <c r="E19" i="1" s="1"/>
  <c r="C19" i="2" s="1"/>
  <c r="D19" i="2" s="1"/>
  <c r="E19" i="2" s="1"/>
  <c r="Q29" i="2" l="1"/>
  <c r="Q33" i="2"/>
  <c r="Q37" i="2"/>
  <c r="Q20" i="2"/>
  <c r="Q19" i="2"/>
  <c r="Q22" i="2"/>
  <c r="Q28" i="2"/>
  <c r="Q27" i="2"/>
  <c r="Q30" i="2"/>
  <c r="Q36" i="2"/>
  <c r="Q35" i="2"/>
  <c r="Q21" i="2"/>
  <c r="Q25" i="2"/>
  <c r="Q16" i="2"/>
  <c r="Q15" i="2"/>
  <c r="Q18" i="2"/>
  <c r="Q24" i="2"/>
  <c r="Q23" i="2"/>
  <c r="Q26" i="2"/>
  <c r="Q32" i="2"/>
  <c r="Q31" i="2"/>
  <c r="Q34" i="2"/>
  <c r="Q17" i="2"/>
  <c r="E20" i="2"/>
  <c r="J20" i="2" s="1"/>
  <c r="E14" i="2"/>
  <c r="J14" i="2" s="1"/>
  <c r="E23" i="2"/>
  <c r="F23" i="2" s="1"/>
  <c r="N45" i="2"/>
  <c r="N51" i="2"/>
  <c r="N59" i="2"/>
  <c r="N67" i="2"/>
  <c r="F30" i="2"/>
  <c r="J30" i="2"/>
  <c r="J16" i="2"/>
  <c r="F16" i="2"/>
  <c r="J24" i="2"/>
  <c r="F24" i="2"/>
  <c r="F19" i="2"/>
  <c r="J19" i="2"/>
  <c r="F27" i="2"/>
  <c r="J27" i="2"/>
  <c r="J36" i="2"/>
  <c r="F36" i="2"/>
  <c r="J28" i="2"/>
  <c r="F28" i="2"/>
  <c r="F17" i="2"/>
  <c r="J17" i="2"/>
  <c r="N53" i="2"/>
  <c r="N61" i="2"/>
  <c r="N52" i="2"/>
  <c r="N60" i="2"/>
  <c r="N68" i="2"/>
  <c r="N57" i="2"/>
  <c r="N50" i="2"/>
  <c r="N58" i="2"/>
  <c r="N66" i="2"/>
  <c r="F35" i="2"/>
  <c r="J35" i="2"/>
  <c r="F34" i="2"/>
  <c r="J34" i="2"/>
  <c r="E25" i="2"/>
  <c r="F33" i="2"/>
  <c r="J33" i="2"/>
  <c r="N47" i="2"/>
  <c r="N55" i="2"/>
  <c r="N63" i="2"/>
  <c r="F31" i="2"/>
  <c r="J31" i="2"/>
  <c r="F26" i="2"/>
  <c r="J26" i="2"/>
  <c r="F13" i="2"/>
  <c r="J13" i="2"/>
  <c r="F37" i="2"/>
  <c r="J37" i="2"/>
  <c r="J32" i="2"/>
  <c r="F32" i="2"/>
  <c r="N65" i="2"/>
  <c r="N48" i="2"/>
  <c r="N56" i="2"/>
  <c r="N64" i="2"/>
  <c r="N49" i="2"/>
  <c r="N69" i="2"/>
  <c r="N46" i="2"/>
  <c r="N54" i="2"/>
  <c r="N62" i="2"/>
  <c r="U49" i="1"/>
  <c r="U37" i="1"/>
  <c r="C29" i="2" s="1"/>
  <c r="D29" i="2" s="1"/>
  <c r="E29" i="2" s="1"/>
  <c r="C22" i="2"/>
  <c r="D22" i="2" s="1"/>
  <c r="E22" i="2" s="1"/>
  <c r="T20" i="1"/>
  <c r="K29" i="1"/>
  <c r="K19" i="1" s="1"/>
  <c r="C21" i="2" s="1"/>
  <c r="D21" i="2" s="1"/>
  <c r="E21" i="2" s="1"/>
  <c r="B32" i="1"/>
  <c r="B19" i="1" s="1"/>
  <c r="C18" i="2" s="1"/>
  <c r="D18" i="2" s="1"/>
  <c r="E18" i="2" s="1"/>
  <c r="K9" i="1"/>
  <c r="K8" i="1"/>
  <c r="K6" i="1"/>
  <c r="K5" i="1"/>
  <c r="H13" i="1"/>
  <c r="H2" i="1" s="1"/>
  <c r="C15" i="2" s="1"/>
  <c r="D15" i="2" s="1"/>
  <c r="E15" i="2" s="1"/>
  <c r="E10" i="1"/>
  <c r="B9" i="1"/>
  <c r="F14" i="2" l="1"/>
  <c r="G14" i="2" s="1"/>
  <c r="F20" i="2"/>
  <c r="J23" i="2"/>
  <c r="G26" i="2"/>
  <c r="K26" i="2"/>
  <c r="F25" i="2"/>
  <c r="J25" i="2"/>
  <c r="F15" i="2"/>
  <c r="J15" i="2"/>
  <c r="F22" i="2"/>
  <c r="J22" i="2"/>
  <c r="G32" i="2"/>
  <c r="K32" i="2"/>
  <c r="G20" i="2"/>
  <c r="K20" i="2"/>
  <c r="G27" i="2"/>
  <c r="K27" i="2"/>
  <c r="G19" i="2"/>
  <c r="K19" i="2"/>
  <c r="G35" i="2"/>
  <c r="K35" i="2"/>
  <c r="F29" i="2"/>
  <c r="J29" i="2"/>
  <c r="G13" i="2"/>
  <c r="K13" i="2"/>
  <c r="G31" i="2"/>
  <c r="K31" i="2"/>
  <c r="G34" i="2"/>
  <c r="K34" i="2"/>
  <c r="G36" i="2"/>
  <c r="K36" i="2"/>
  <c r="G24" i="2"/>
  <c r="K24" i="2"/>
  <c r="G37" i="2"/>
  <c r="K37" i="2"/>
  <c r="K14" i="2"/>
  <c r="G28" i="2"/>
  <c r="K28" i="2"/>
  <c r="G16" i="2"/>
  <c r="K16" i="2"/>
  <c r="F18" i="2"/>
  <c r="J18" i="2"/>
  <c r="F21" i="2"/>
  <c r="J21" i="2"/>
  <c r="G33" i="2"/>
  <c r="K33" i="2"/>
  <c r="G17" i="2"/>
  <c r="K17" i="2"/>
  <c r="G23" i="2"/>
  <c r="K23" i="2"/>
  <c r="G30" i="2"/>
  <c r="K30" i="2"/>
  <c r="K11" i="1"/>
  <c r="H30" i="2" l="1"/>
  <c r="L30" i="2"/>
  <c r="G18" i="2"/>
  <c r="K18" i="2"/>
  <c r="H14" i="2"/>
  <c r="L14" i="2"/>
  <c r="H36" i="2"/>
  <c r="L36" i="2"/>
  <c r="H34" i="2"/>
  <c r="L34" i="2"/>
  <c r="G29" i="2"/>
  <c r="K29" i="2"/>
  <c r="H24" i="2"/>
  <c r="L24" i="2"/>
  <c r="H13" i="2"/>
  <c r="L13" i="2"/>
  <c r="H19" i="2"/>
  <c r="L19" i="2"/>
  <c r="G22" i="2"/>
  <c r="K22" i="2"/>
  <c r="G25" i="2"/>
  <c r="K25" i="2"/>
  <c r="H17" i="2"/>
  <c r="L17" i="2"/>
  <c r="H33" i="2"/>
  <c r="L33" i="2"/>
  <c r="G21" i="2"/>
  <c r="K21" i="2"/>
  <c r="H16" i="2"/>
  <c r="L16" i="2"/>
  <c r="H28" i="2"/>
  <c r="L28" i="2"/>
  <c r="H37" i="2"/>
  <c r="L37" i="2"/>
  <c r="H35" i="2"/>
  <c r="L35" i="2"/>
  <c r="H20" i="2"/>
  <c r="L20" i="2"/>
  <c r="H23" i="2"/>
  <c r="L23" i="2"/>
  <c r="H31" i="2"/>
  <c r="L31" i="2"/>
  <c r="H27" i="2"/>
  <c r="L27" i="2"/>
  <c r="H32" i="2"/>
  <c r="L32" i="2"/>
  <c r="G15" i="2"/>
  <c r="K15" i="2"/>
  <c r="H26" i="2"/>
  <c r="L26" i="2"/>
  <c r="I37" i="2" l="1"/>
  <c r="N37" i="2" s="1"/>
  <c r="M37" i="2"/>
  <c r="I33" i="2"/>
  <c r="N33" i="2" s="1"/>
  <c r="M33" i="2"/>
  <c r="I19" i="2"/>
  <c r="N19" i="2" s="1"/>
  <c r="M19" i="2"/>
  <c r="I24" i="2"/>
  <c r="N24" i="2" s="1"/>
  <c r="M24" i="2"/>
  <c r="I26" i="2"/>
  <c r="N26" i="2" s="1"/>
  <c r="M26" i="2"/>
  <c r="I32" i="2"/>
  <c r="N32" i="2" s="1"/>
  <c r="M32" i="2"/>
  <c r="I23" i="2"/>
  <c r="N23" i="2" s="1"/>
  <c r="M23" i="2"/>
  <c r="H29" i="2"/>
  <c r="L29" i="2"/>
  <c r="I36" i="2"/>
  <c r="N36" i="2" s="1"/>
  <c r="M36" i="2"/>
  <c r="H18" i="2"/>
  <c r="L18" i="2"/>
  <c r="I31" i="2"/>
  <c r="N31" i="2" s="1"/>
  <c r="M31" i="2"/>
  <c r="I35" i="2"/>
  <c r="N35" i="2" s="1"/>
  <c r="M35" i="2"/>
  <c r="I28" i="2"/>
  <c r="N28" i="2" s="1"/>
  <c r="M28" i="2"/>
  <c r="H21" i="2"/>
  <c r="L21" i="2"/>
  <c r="I17" i="2"/>
  <c r="N17" i="2" s="1"/>
  <c r="M17" i="2"/>
  <c r="H22" i="2"/>
  <c r="L22" i="2"/>
  <c r="I13" i="2"/>
  <c r="N13" i="2" s="1"/>
  <c r="M13" i="2"/>
  <c r="I20" i="2"/>
  <c r="N20" i="2" s="1"/>
  <c r="M20" i="2"/>
  <c r="I16" i="2"/>
  <c r="N16" i="2" s="1"/>
  <c r="M16" i="2"/>
  <c r="H25" i="2"/>
  <c r="L25" i="2"/>
  <c r="H15" i="2"/>
  <c r="L15" i="2"/>
  <c r="I27" i="2"/>
  <c r="N27" i="2" s="1"/>
  <c r="M27" i="2"/>
  <c r="O19" i="2"/>
  <c r="I34" i="2"/>
  <c r="N34" i="2" s="1"/>
  <c r="M34" i="2"/>
  <c r="I14" i="2"/>
  <c r="N14" i="2" s="1"/>
  <c r="M14" i="2"/>
  <c r="I30" i="2"/>
  <c r="N30" i="2" s="1"/>
  <c r="M30" i="2"/>
  <c r="O33" i="2" l="1"/>
  <c r="P33" i="2" s="1"/>
  <c r="O17" i="2"/>
  <c r="S17" i="2" s="1"/>
  <c r="O31" i="2"/>
  <c r="P31" i="2" s="1"/>
  <c r="O34" i="2"/>
  <c r="O23" i="2"/>
  <c r="O26" i="2"/>
  <c r="P19" i="2"/>
  <c r="S19" i="2"/>
  <c r="O16" i="2"/>
  <c r="O28" i="2"/>
  <c r="O27" i="2"/>
  <c r="O32" i="2"/>
  <c r="O24" i="2"/>
  <c r="O14" i="2"/>
  <c r="O30" i="2"/>
  <c r="O20" i="2"/>
  <c r="O13" i="2"/>
  <c r="O36" i="2"/>
  <c r="I21" i="2"/>
  <c r="N21" i="2" s="1"/>
  <c r="M21" i="2"/>
  <c r="I15" i="2"/>
  <c r="N15" i="2" s="1"/>
  <c r="M15" i="2"/>
  <c r="I18" i="2"/>
  <c r="N18" i="2" s="1"/>
  <c r="M18" i="2"/>
  <c r="I25" i="2"/>
  <c r="N25" i="2" s="1"/>
  <c r="M25" i="2"/>
  <c r="I22" i="2"/>
  <c r="N22" i="2" s="1"/>
  <c r="M22" i="2"/>
  <c r="I29" i="2"/>
  <c r="N29" i="2" s="1"/>
  <c r="M29" i="2"/>
  <c r="O35" i="2"/>
  <c r="O37" i="2"/>
  <c r="P17" i="2" l="1"/>
  <c r="S33" i="2"/>
  <c r="O25" i="2"/>
  <c r="S25" i="2" s="1"/>
  <c r="S31" i="2"/>
  <c r="O22" i="2"/>
  <c r="S22" i="2" s="1"/>
  <c r="P24" i="2"/>
  <c r="S24" i="2"/>
  <c r="P37" i="2"/>
  <c r="S37" i="2"/>
  <c r="P20" i="2"/>
  <c r="S20" i="2"/>
  <c r="P32" i="2"/>
  <c r="S32" i="2"/>
  <c r="P34" i="2"/>
  <c r="S34" i="2"/>
  <c r="P30" i="2"/>
  <c r="S30" i="2"/>
  <c r="P27" i="2"/>
  <c r="S27" i="2"/>
  <c r="P25" i="2"/>
  <c r="P13" i="2"/>
  <c r="S13" i="2"/>
  <c r="P16" i="2"/>
  <c r="S16" i="2"/>
  <c r="P23" i="2"/>
  <c r="S23" i="2"/>
  <c r="P35" i="2"/>
  <c r="S35" i="2"/>
  <c r="P36" i="2"/>
  <c r="S36" i="2"/>
  <c r="P14" i="2"/>
  <c r="S14" i="2"/>
  <c r="P28" i="2"/>
  <c r="S28" i="2"/>
  <c r="P26" i="2"/>
  <c r="S26" i="2"/>
  <c r="O18" i="2"/>
  <c r="O21" i="2"/>
  <c r="O29" i="2"/>
  <c r="O15" i="2"/>
  <c r="P22" i="2" l="1"/>
  <c r="P21" i="2"/>
  <c r="S21" i="2"/>
  <c r="P18" i="2"/>
  <c r="S18" i="2"/>
  <c r="P15" i="2"/>
  <c r="S15" i="2"/>
  <c r="P29" i="2"/>
  <c r="S29" i="2"/>
</calcChain>
</file>

<file path=xl/sharedStrings.xml><?xml version="1.0" encoding="utf-8"?>
<sst xmlns="http://schemas.openxmlformats.org/spreadsheetml/2006/main" count="328" uniqueCount="178">
  <si>
    <t>工商银行</t>
    <phoneticPr fontId="3" type="noConversion"/>
  </si>
  <si>
    <t>5.应收款项</t>
    <phoneticPr fontId="3" type="noConversion"/>
  </si>
  <si>
    <t>2017H（集团）</t>
  </si>
  <si>
    <t>债券</t>
    <phoneticPr fontId="3" type="noConversion"/>
  </si>
  <si>
    <t>国债</t>
    <phoneticPr fontId="3" type="noConversion"/>
  </si>
  <si>
    <t>其他</t>
    <phoneticPr fontId="3" type="noConversion"/>
  </si>
  <si>
    <t>小计</t>
    <phoneticPr fontId="3" type="noConversion"/>
  </si>
  <si>
    <t>建设银行</t>
    <phoneticPr fontId="3" type="noConversion"/>
  </si>
  <si>
    <t>5.应收款项</t>
    <phoneticPr fontId="3" type="noConversion"/>
  </si>
  <si>
    <t>政府债</t>
    <phoneticPr fontId="3" type="noConversion"/>
  </si>
  <si>
    <t>金融债</t>
    <phoneticPr fontId="3" type="noConversion"/>
  </si>
  <si>
    <t>企业债</t>
    <phoneticPr fontId="3" type="noConversion"/>
  </si>
  <si>
    <t>小计</t>
    <phoneticPr fontId="3" type="noConversion"/>
  </si>
  <si>
    <t>减值准备</t>
    <phoneticPr fontId="3" type="noConversion"/>
  </si>
  <si>
    <t>农业银行</t>
    <phoneticPr fontId="3" type="noConversion"/>
  </si>
  <si>
    <t>财政部款项</t>
    <phoneticPr fontId="3" type="noConversion"/>
  </si>
  <si>
    <t>特别国债</t>
    <phoneticPr fontId="3" type="noConversion"/>
  </si>
  <si>
    <t>政府债</t>
    <phoneticPr fontId="3" type="noConversion"/>
  </si>
  <si>
    <t>公共实体</t>
    <phoneticPr fontId="3" type="noConversion"/>
  </si>
  <si>
    <t>企业债</t>
    <phoneticPr fontId="3" type="noConversion"/>
  </si>
  <si>
    <t>凭证式国债</t>
    <phoneticPr fontId="3" type="noConversion"/>
  </si>
  <si>
    <t>减值准备</t>
    <phoneticPr fontId="3" type="noConversion"/>
  </si>
  <si>
    <t>公共实体债</t>
    <phoneticPr fontId="3" type="noConversion"/>
  </si>
  <si>
    <t>政策性银行</t>
    <phoneticPr fontId="3" type="noConversion"/>
  </si>
  <si>
    <t>公司债</t>
    <phoneticPr fontId="3" type="noConversion"/>
  </si>
  <si>
    <t>管理公司</t>
    <phoneticPr fontId="3" type="noConversion"/>
  </si>
  <si>
    <t>信托投资、资产管理计划及其他</t>
    <phoneticPr fontId="3" type="noConversion"/>
  </si>
  <si>
    <t>减值准备</t>
    <phoneticPr fontId="3" type="noConversion"/>
  </si>
  <si>
    <t>中国银行</t>
    <phoneticPr fontId="3" type="noConversion"/>
  </si>
  <si>
    <t>招商银行</t>
    <phoneticPr fontId="3" type="noConversion"/>
  </si>
  <si>
    <t>其他债券</t>
    <phoneticPr fontId="3" type="noConversion"/>
  </si>
  <si>
    <t>货币基金</t>
    <phoneticPr fontId="3" type="noConversion"/>
  </si>
  <si>
    <t>票据</t>
    <phoneticPr fontId="3" type="noConversion"/>
  </si>
  <si>
    <t>理财</t>
    <phoneticPr fontId="3" type="noConversion"/>
  </si>
  <si>
    <t>贷款</t>
    <phoneticPr fontId="3" type="noConversion"/>
  </si>
  <si>
    <t>同业存款</t>
    <phoneticPr fontId="3" type="noConversion"/>
  </si>
  <si>
    <t>同业债权资产收益权</t>
    <phoneticPr fontId="3" type="noConversion"/>
  </si>
  <si>
    <t>减值准备</t>
    <phoneticPr fontId="3" type="noConversion"/>
  </si>
  <si>
    <t>其他投资</t>
    <phoneticPr fontId="3" type="noConversion"/>
  </si>
  <si>
    <t>减值准备</t>
    <phoneticPr fontId="3" type="noConversion"/>
  </si>
  <si>
    <t>中信银行</t>
    <phoneticPr fontId="3" type="noConversion"/>
  </si>
  <si>
    <t>资管</t>
    <phoneticPr fontId="3" type="noConversion"/>
  </si>
  <si>
    <t>信托</t>
    <phoneticPr fontId="3" type="noConversion"/>
  </si>
  <si>
    <t>-</t>
    <phoneticPr fontId="3" type="noConversion"/>
  </si>
  <si>
    <t>其他投资</t>
    <phoneticPr fontId="3" type="noConversion"/>
  </si>
  <si>
    <t>浦发银行</t>
    <phoneticPr fontId="3" type="noConversion"/>
  </si>
  <si>
    <t>资产支持债券</t>
    <phoneticPr fontId="3" type="noConversion"/>
  </si>
  <si>
    <t>信托及资管</t>
    <phoneticPr fontId="3" type="noConversion"/>
  </si>
  <si>
    <t>民生银行</t>
    <phoneticPr fontId="3" type="noConversion"/>
  </si>
  <si>
    <t>政府债</t>
    <phoneticPr fontId="3" type="noConversion"/>
  </si>
  <si>
    <t>政策性银行</t>
    <phoneticPr fontId="3" type="noConversion"/>
  </si>
  <si>
    <t>金融债</t>
    <phoneticPr fontId="3" type="noConversion"/>
  </si>
  <si>
    <t>光大银行</t>
    <phoneticPr fontId="3" type="noConversion"/>
  </si>
  <si>
    <t>华夏银行</t>
    <phoneticPr fontId="3" type="noConversion"/>
  </si>
  <si>
    <t>政府债</t>
    <phoneticPr fontId="3" type="noConversion"/>
  </si>
  <si>
    <t>理财</t>
    <phoneticPr fontId="3" type="noConversion"/>
  </si>
  <si>
    <t>资产收益权</t>
    <phoneticPr fontId="3" type="noConversion"/>
  </si>
  <si>
    <t>兴业银行</t>
    <phoneticPr fontId="3" type="noConversion"/>
  </si>
  <si>
    <t>政府债</t>
    <phoneticPr fontId="3" type="noConversion"/>
  </si>
  <si>
    <t>金融债</t>
    <phoneticPr fontId="3" type="noConversion"/>
  </si>
  <si>
    <t>信托及资管</t>
    <phoneticPr fontId="3" type="noConversion"/>
  </si>
  <si>
    <t>小计</t>
    <phoneticPr fontId="3" type="noConversion"/>
  </si>
  <si>
    <t>平安银行</t>
    <phoneticPr fontId="3" type="noConversion"/>
  </si>
  <si>
    <t>5.应收款项</t>
    <phoneticPr fontId="3" type="noConversion"/>
  </si>
  <si>
    <t>理财</t>
    <phoneticPr fontId="3" type="noConversion"/>
  </si>
  <si>
    <t>资管</t>
    <phoneticPr fontId="3" type="noConversion"/>
  </si>
  <si>
    <t>信托</t>
    <phoneticPr fontId="3" type="noConversion"/>
  </si>
  <si>
    <t>票据</t>
    <phoneticPr fontId="3" type="noConversion"/>
  </si>
  <si>
    <t>资产证券化支持证券</t>
    <phoneticPr fontId="3" type="noConversion"/>
  </si>
  <si>
    <t>小计</t>
    <phoneticPr fontId="3" type="noConversion"/>
  </si>
  <si>
    <t>北京银行</t>
    <phoneticPr fontId="3" type="noConversion"/>
  </si>
  <si>
    <t>政策性债券</t>
    <phoneticPr fontId="3" type="noConversion"/>
  </si>
  <si>
    <t>南京银行</t>
    <phoneticPr fontId="3" type="noConversion"/>
  </si>
  <si>
    <t>2017H</t>
    <phoneticPr fontId="3" type="noConversion"/>
  </si>
  <si>
    <t>信托</t>
    <phoneticPr fontId="3" type="noConversion"/>
  </si>
  <si>
    <t>资产减值准备</t>
    <phoneticPr fontId="3" type="noConversion"/>
  </si>
  <si>
    <t>宁波银行</t>
    <phoneticPr fontId="3" type="noConversion"/>
  </si>
  <si>
    <t>企业债</t>
    <phoneticPr fontId="3" type="noConversion"/>
  </si>
  <si>
    <t>-</t>
    <phoneticPr fontId="3" type="noConversion"/>
  </si>
  <si>
    <t>理财及信托</t>
    <phoneticPr fontId="3" type="noConversion"/>
  </si>
  <si>
    <t>江苏银行</t>
    <phoneticPr fontId="3" type="noConversion"/>
  </si>
  <si>
    <t>5.应收款项</t>
    <phoneticPr fontId="3" type="noConversion"/>
  </si>
  <si>
    <t>其他债</t>
    <phoneticPr fontId="3" type="noConversion"/>
  </si>
  <si>
    <t>小计</t>
    <phoneticPr fontId="3" type="noConversion"/>
  </si>
  <si>
    <t>减值准备</t>
    <phoneticPr fontId="3" type="noConversion"/>
  </si>
  <si>
    <t>江苏银行债券资产</t>
    <phoneticPr fontId="3" type="noConversion"/>
  </si>
  <si>
    <t>2016（合并）</t>
    <phoneticPr fontId="3" type="noConversion"/>
  </si>
  <si>
    <t>资管及信托</t>
    <phoneticPr fontId="3" type="noConversion"/>
  </si>
  <si>
    <t>贵阳银行</t>
  </si>
  <si>
    <t>杭州银行</t>
  </si>
  <si>
    <t>5.应收款项类投资</t>
  </si>
  <si>
    <t>政府债券</t>
  </si>
  <si>
    <t>信托及资产管理计划</t>
  </si>
  <si>
    <t>合计</t>
  </si>
  <si>
    <t>减值准备</t>
  </si>
  <si>
    <t>control</t>
  </si>
  <si>
    <t>上海银行</t>
  </si>
  <si>
    <t>中国境内</t>
  </si>
  <si>
    <t>政府</t>
  </si>
  <si>
    <t>商业银行</t>
  </si>
  <si>
    <t>非银行金融机构</t>
  </si>
  <si>
    <t>企业</t>
  </si>
  <si>
    <t>江阴银行</t>
  </si>
  <si>
    <t>4.应收款项类投资</t>
  </si>
  <si>
    <t>资管类</t>
    <phoneticPr fontId="7" type="noConversion"/>
  </si>
  <si>
    <t>小计</t>
    <phoneticPr fontId="7" type="noConversion"/>
  </si>
  <si>
    <t>无锡银行</t>
  </si>
  <si>
    <t>信托及资管</t>
    <phoneticPr fontId="7" type="noConversion"/>
  </si>
  <si>
    <t>理财</t>
    <phoneticPr fontId="7" type="noConversion"/>
  </si>
  <si>
    <t>小计</t>
    <phoneticPr fontId="7" type="noConversion"/>
  </si>
  <si>
    <t>常熟银行</t>
  </si>
  <si>
    <t>4.应收款项类投资</t>
    <phoneticPr fontId="3" type="noConversion"/>
  </si>
  <si>
    <t>-</t>
    <phoneticPr fontId="7" type="noConversion"/>
  </si>
  <si>
    <t>企业债券</t>
  </si>
  <si>
    <t>信托及资管</t>
    <phoneticPr fontId="7" type="noConversion"/>
  </si>
  <si>
    <t>吴江银行</t>
  </si>
  <si>
    <t>张家港行</t>
  </si>
  <si>
    <t>理财</t>
    <phoneticPr fontId="7" type="noConversion"/>
  </si>
  <si>
    <t>其他</t>
    <phoneticPr fontId="7" type="noConversion"/>
  </si>
  <si>
    <t>应收账款类投资减值准备（组合计提）</t>
  </si>
  <si>
    <t>注：根据年报批注：政府主要是凭证式国债、储蓄式国债和地方政府债。</t>
    <phoneticPr fontId="2" type="noConversion"/>
  </si>
  <si>
    <t>银行</t>
    <phoneticPr fontId="2" type="noConversion"/>
  </si>
  <si>
    <t>类信贷</t>
    <phoneticPr fontId="2" type="noConversion"/>
  </si>
  <si>
    <t>工商银行</t>
    <phoneticPr fontId="2" type="noConversion"/>
  </si>
  <si>
    <t>建设银行</t>
  </si>
  <si>
    <t>农业银行</t>
  </si>
  <si>
    <t>中国银行</t>
  </si>
  <si>
    <t>交通银行</t>
  </si>
  <si>
    <t>招商银行</t>
  </si>
  <si>
    <t>中信银行</t>
  </si>
  <si>
    <t>浦发银行</t>
  </si>
  <si>
    <t>民生银行</t>
  </si>
  <si>
    <t>兴业银行</t>
  </si>
  <si>
    <t>光大银行</t>
  </si>
  <si>
    <t>华夏银行</t>
  </si>
  <si>
    <t>平安银行</t>
  </si>
  <si>
    <t>北京银行</t>
  </si>
  <si>
    <t>南京银行</t>
  </si>
  <si>
    <t>宁波银行</t>
  </si>
  <si>
    <t>江苏银行</t>
  </si>
  <si>
    <t>交通银行</t>
    <phoneticPr fontId="3" type="noConversion"/>
  </si>
  <si>
    <t>5.应收账款</t>
    <phoneticPr fontId="3" type="noConversion"/>
  </si>
  <si>
    <t>政府债</t>
    <phoneticPr fontId="3" type="noConversion"/>
  </si>
  <si>
    <t>金融机构债</t>
    <phoneticPr fontId="3" type="noConversion"/>
  </si>
  <si>
    <t>信托及资管</t>
    <phoneticPr fontId="3" type="noConversion"/>
  </si>
  <si>
    <t>小计</t>
    <phoneticPr fontId="3" type="noConversion"/>
  </si>
  <si>
    <t>减值准备</t>
    <phoneticPr fontId="3" type="noConversion"/>
  </si>
  <si>
    <t>非债券类</t>
    <phoneticPr fontId="2" type="noConversion"/>
  </si>
  <si>
    <t>假设：类信贷占调整后的非标比重</t>
    <phoneticPr fontId="2" type="noConversion"/>
  </si>
  <si>
    <t>国有行</t>
    <phoneticPr fontId="2" type="noConversion"/>
  </si>
  <si>
    <t>股份行</t>
    <phoneticPr fontId="2" type="noConversion"/>
  </si>
  <si>
    <t>城商行</t>
    <phoneticPr fontId="2" type="noConversion"/>
  </si>
  <si>
    <t>国有行</t>
    <phoneticPr fontId="2" type="noConversion"/>
  </si>
  <si>
    <t>农商行</t>
    <phoneticPr fontId="2" type="noConversion"/>
  </si>
  <si>
    <t>农商行</t>
    <phoneticPr fontId="2" type="noConversion"/>
  </si>
  <si>
    <t>五级分类</t>
    <phoneticPr fontId="2" type="noConversion"/>
  </si>
  <si>
    <t>分类</t>
  </si>
  <si>
    <t>不良贷款拨备计提指导标准</t>
  </si>
  <si>
    <t>正常</t>
  </si>
  <si>
    <t>关注</t>
  </si>
  <si>
    <t>次级</t>
  </si>
  <si>
    <t>可疑</t>
  </si>
  <si>
    <t>损失</t>
  </si>
  <si>
    <t>正常</t>
    <phoneticPr fontId="2" type="noConversion"/>
  </si>
  <si>
    <t>单位:亿元</t>
    <phoneticPr fontId="2" type="noConversion"/>
  </si>
  <si>
    <t>贷款总额</t>
    <phoneticPr fontId="2" type="noConversion"/>
  </si>
  <si>
    <t>占比</t>
    <phoneticPr fontId="2" type="noConversion"/>
  </si>
  <si>
    <t>类信贷分类总额</t>
    <phoneticPr fontId="2" type="noConversion"/>
  </si>
  <si>
    <t>分类计提</t>
    <phoneticPr fontId="2" type="noConversion"/>
  </si>
  <si>
    <t>计提拨备加总</t>
    <phoneticPr fontId="2" type="noConversion"/>
  </si>
  <si>
    <t>年化拨备</t>
    <phoneticPr fontId="2" type="noConversion"/>
  </si>
  <si>
    <t>占拨备比例</t>
    <phoneticPr fontId="2" type="noConversion"/>
  </si>
  <si>
    <t>资产减值准备</t>
    <phoneticPr fontId="2" type="noConversion"/>
  </si>
  <si>
    <t>资产减值准备</t>
    <phoneticPr fontId="2" type="noConversion"/>
  </si>
  <si>
    <t>数据源</t>
    <phoneticPr fontId="2" type="noConversion"/>
  </si>
  <si>
    <t>应收款项减值准备</t>
    <phoneticPr fontId="2" type="noConversion"/>
  </si>
  <si>
    <t>应收款项类减值准备</t>
    <phoneticPr fontId="2" type="noConversion"/>
  </si>
  <si>
    <t>其他包括回收金额固定或可确定的金融债券、企业债券、债权投资计划、资产支持计划、专项资产管理计划和理财产品。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</si>
</sst>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.00_);[Red]\(0.00\)"/>
    <numFmt numFmtId="177" formatCode="0.00000"/>
    <numFmt numFmtId="178" formatCode="#,##0.000"/>
    <numFmt numFmtId="179" formatCode="0.0000000000"/>
    <numFmt numFmtId="180" formatCode="0.00_ "/>
    <numFmt numFmtId="181" formatCode="0.0000_ "/>
    <numFmt numFmtId="182" formatCode="###,###,##0.0000"/>
    <numFmt numFmtId="183" formatCode="###,###,##0.00"/>
    <numFmt numFmtId="184" formatCode="0.0%"/>
  </numFmts>
  <fonts count="9" x14ac:knownFonts="1">
    <font>
      <sz val="11"/>
      <color theme="1"/>
      <name val="等线"/>
      <family val="2"/>
      <scheme val="minor"/>
    </font>
    <font>
      <sz val="10"/>
      <name val="黑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黑体"/>
      <family val="3"/>
      <charset val="134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9" fontId="8" fillId="0" borderId="0" applyFont="0" applyFill="0" applyBorder="0" applyAlignment="0" applyProtection="0">
      <alignment vertical="center"/>
    </xf>
  </cellStyleXfs>
  <cellXfs count="4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176" fontId="5" fillId="3" borderId="0" xfId="0" applyNumberFormat="1" applyFont="1" applyFill="1" applyBorder="1" applyAlignment="1">
      <alignment vertical="center"/>
    </xf>
    <xf numFmtId="3" fontId="0" fillId="0" borderId="0" xfId="0" applyNumberFormat="1" applyAlignment="1">
      <alignment vertical="center"/>
    </xf>
    <xf numFmtId="176" fontId="6" fillId="0" borderId="0" xfId="0" applyNumberFormat="1" applyFont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2" fontId="4" fillId="0" borderId="0" xfId="0" applyNumberFormat="1" applyFont="1" applyFill="1" applyAlignment="1">
      <alignment horizontal="left" vertical="center"/>
    </xf>
    <xf numFmtId="0" fontId="5" fillId="3" borderId="0" xfId="0" applyFont="1" applyFill="1" applyBorder="1" applyAlignment="1">
      <alignment vertical="center"/>
    </xf>
    <xf numFmtId="176" fontId="6" fillId="0" borderId="0" xfId="0" applyNumberFormat="1" applyFont="1" applyBorder="1" applyAlignment="1">
      <alignment vertical="center"/>
    </xf>
    <xf numFmtId="177" fontId="4" fillId="0" borderId="0" xfId="0" applyNumberFormat="1" applyFont="1" applyFill="1" applyAlignment="1">
      <alignment horizontal="left"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horizontal="left" vertical="center"/>
    </xf>
    <xf numFmtId="176" fontId="0" fillId="0" borderId="0" xfId="0" applyNumberFormat="1"/>
    <xf numFmtId="0" fontId="4" fillId="6" borderId="0" xfId="0" applyFont="1" applyFill="1" applyAlignment="1">
      <alignment horizontal="left" vertical="center"/>
    </xf>
    <xf numFmtId="176" fontId="5" fillId="6" borderId="0" xfId="0" applyNumberFormat="1" applyFont="1" applyFill="1" applyBorder="1" applyAlignment="1">
      <alignment vertical="center"/>
    </xf>
    <xf numFmtId="176" fontId="6" fillId="6" borderId="0" xfId="0" applyNumberFormat="1" applyFont="1" applyFill="1" applyAlignment="1">
      <alignment vertical="center"/>
    </xf>
    <xf numFmtId="0" fontId="4" fillId="4" borderId="1" xfId="1" applyFont="1" applyFill="1" applyBorder="1" applyAlignment="1">
      <alignment horizontal="left"/>
    </xf>
    <xf numFmtId="0" fontId="4" fillId="0" borderId="0" xfId="1" applyFont="1" applyFill="1" applyAlignment="1">
      <alignment horizontal="left"/>
    </xf>
    <xf numFmtId="177" fontId="4" fillId="0" borderId="0" xfId="1" applyNumberFormat="1" applyFont="1" applyFill="1" applyAlignment="1">
      <alignment horizontal="left"/>
    </xf>
    <xf numFmtId="0" fontId="4" fillId="2" borderId="1" xfId="1" applyFont="1" applyFill="1" applyBorder="1" applyAlignment="1">
      <alignment horizontal="left" vertical="center"/>
    </xf>
    <xf numFmtId="0" fontId="4" fillId="0" borderId="0" xfId="1" applyFont="1" applyFill="1" applyAlignment="1">
      <alignment horizontal="left" vertical="center"/>
    </xf>
    <xf numFmtId="0" fontId="4" fillId="4" borderId="1" xfId="1" applyFont="1" applyFill="1" applyBorder="1" applyAlignment="1">
      <alignment horizontal="left" vertical="center"/>
    </xf>
    <xf numFmtId="177" fontId="4" fillId="0" borderId="0" xfId="1" applyNumberFormat="1" applyFont="1" applyFill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178" fontId="0" fillId="0" borderId="0" xfId="0" applyNumberFormat="1" applyAlignment="1">
      <alignment vertical="center"/>
    </xf>
    <xf numFmtId="179" fontId="4" fillId="0" borderId="0" xfId="1" applyNumberFormat="1" applyFont="1" applyFill="1" applyAlignment="1">
      <alignment horizontal="left" vertical="center"/>
    </xf>
    <xf numFmtId="0" fontId="4" fillId="6" borderId="0" xfId="1" applyFont="1" applyFill="1" applyAlignment="1">
      <alignment horizontal="left"/>
    </xf>
    <xf numFmtId="0" fontId="4" fillId="6" borderId="0" xfId="1" applyFont="1" applyFill="1" applyAlignment="1">
      <alignment horizontal="left" vertical="center"/>
    </xf>
    <xf numFmtId="180" fontId="0" fillId="0" borderId="0" xfId="0" applyNumberFormat="1"/>
    <xf numFmtId="181" fontId="0" fillId="0" borderId="0" xfId="0" applyNumberFormat="1"/>
    <xf numFmtId="3" fontId="0" fillId="0" borderId="0" xfId="0" applyNumberFormat="1"/>
    <xf numFmtId="177" fontId="0" fillId="0" borderId="0" xfId="0" applyNumberFormat="1"/>
    <xf numFmtId="178" fontId="0" fillId="0" borderId="0" xfId="0" applyNumberFormat="1"/>
    <xf numFmtId="4" fontId="0" fillId="0" borderId="0" xfId="0" applyNumberFormat="1"/>
    <xf numFmtId="9" fontId="0" fillId="0" borderId="0" xfId="0" applyNumberFormat="1"/>
    <xf numFmtId="2" fontId="0" fillId="0" borderId="0" xfId="0" applyNumberFormat="1"/>
    <xf numFmtId="10" fontId="0" fillId="0" borderId="0" xfId="0" applyNumberFormat="1"/>
    <xf numFmtId="14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2" applyNumberFormat="1" applyFont="1" applyAlignment="1"/>
    <xf numFmtId="10" fontId="0" fillId="0" borderId="0" xfId="2" applyNumberFormat="1" applyFont="1" applyAlignment="1"/>
    <xf numFmtId="0" fontId="0" fillId="4" borderId="0" xfId="0" applyFill="1"/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</cellXfs>
  <cellStyles count="3">
    <cellStyle name="百分比" xfId="2" builtinId="5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stmnote_bank"/>
      <definedName name="s_stmnote_bank_1n"/>
      <definedName name="to_tradecod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66"/>
  <sheetViews>
    <sheetView tabSelected="1" workbookViewId="0">
      <selection activeCell="D13" sqref="D13"/>
    </sheetView>
  </sheetViews>
  <sheetFormatPr defaultRowHeight="14.25" x14ac:dyDescent="0.2"/>
  <cols>
    <col min="6" max="6" width="10" bestFit="1" customWidth="1"/>
    <col min="7" max="7" width="12.375" bestFit="1" customWidth="1"/>
    <col min="10" max="10" width="10.5" customWidth="1"/>
    <col min="20" max="20" width="15.25" customWidth="1"/>
    <col min="21" max="21" width="10" bestFit="1" customWidth="1"/>
  </cols>
  <sheetData>
    <row r="2" spans="1:14" x14ac:dyDescent="0.2">
      <c r="A2" s="1" t="s">
        <v>0</v>
      </c>
      <c r="B2">
        <f>B8</f>
        <v>1645.73</v>
      </c>
      <c r="D2" s="3" t="s">
        <v>7</v>
      </c>
      <c r="E2" s="16">
        <f>E9</f>
        <v>556.53</v>
      </c>
      <c r="G2" s="3" t="s">
        <v>14</v>
      </c>
      <c r="H2" s="16">
        <f>H13-SUM(H6:H7,H9:H11)</f>
        <v>3270.6499999999996</v>
      </c>
      <c r="J2" s="7" t="s">
        <v>28</v>
      </c>
      <c r="K2">
        <f>K10+K12</f>
        <v>1699.77</v>
      </c>
      <c r="M2" s="7" t="s">
        <v>140</v>
      </c>
      <c r="N2" s="16">
        <f>N9</f>
        <v>2787.16</v>
      </c>
    </row>
    <row r="4" spans="1:14" x14ac:dyDescent="0.2">
      <c r="A4" s="2" t="s">
        <v>1</v>
      </c>
      <c r="B4" s="2"/>
      <c r="D4" s="2" t="s">
        <v>8</v>
      </c>
      <c r="E4" s="2"/>
      <c r="G4" s="2"/>
      <c r="H4" s="2" t="s">
        <v>2</v>
      </c>
      <c r="J4" s="2"/>
      <c r="K4" s="2" t="s">
        <v>2</v>
      </c>
      <c r="M4" s="2" t="s">
        <v>141</v>
      </c>
      <c r="N4" s="2"/>
    </row>
    <row r="5" spans="1:14" ht="15" x14ac:dyDescent="0.2">
      <c r="A5" s="2"/>
      <c r="B5" s="2" t="s">
        <v>2</v>
      </c>
      <c r="D5" s="2"/>
      <c r="E5" s="2" t="s">
        <v>2</v>
      </c>
      <c r="G5" s="2" t="s">
        <v>15</v>
      </c>
      <c r="H5" s="6">
        <v>2720.23</v>
      </c>
      <c r="J5" s="17" t="s">
        <v>9</v>
      </c>
      <c r="K5" s="17">
        <f>1921.91+6.77</f>
        <v>1928.68</v>
      </c>
      <c r="M5" s="2"/>
      <c r="N5" s="2" t="s">
        <v>2</v>
      </c>
    </row>
    <row r="6" spans="1:14" ht="15" x14ac:dyDescent="0.2">
      <c r="A6" s="17" t="s">
        <v>3</v>
      </c>
      <c r="B6" s="17">
        <v>942.49</v>
      </c>
      <c r="D6" s="17" t="s">
        <v>9</v>
      </c>
      <c r="E6" s="18">
        <v>3362.88</v>
      </c>
      <c r="G6" s="17" t="s">
        <v>16</v>
      </c>
      <c r="H6" s="19">
        <v>933</v>
      </c>
      <c r="J6" s="17" t="s">
        <v>22</v>
      </c>
      <c r="K6" s="17">
        <f>100.24</f>
        <v>100.24</v>
      </c>
      <c r="M6" s="2" t="s">
        <v>142</v>
      </c>
      <c r="N6" s="12">
        <v>985.19</v>
      </c>
    </row>
    <row r="7" spans="1:14" ht="15" x14ac:dyDescent="0.2">
      <c r="A7" s="17" t="s">
        <v>4</v>
      </c>
      <c r="B7" s="17">
        <v>850</v>
      </c>
      <c r="D7" s="17" t="s">
        <v>10</v>
      </c>
      <c r="E7" s="18">
        <v>491.78</v>
      </c>
      <c r="G7" s="17" t="s">
        <v>17</v>
      </c>
      <c r="H7" s="19">
        <v>1557.88</v>
      </c>
      <c r="J7" s="17" t="s">
        <v>23</v>
      </c>
      <c r="K7" s="17">
        <v>15</v>
      </c>
      <c r="M7" s="2" t="s">
        <v>51</v>
      </c>
      <c r="N7" s="12">
        <v>150.49</v>
      </c>
    </row>
    <row r="8" spans="1:14" ht="15" x14ac:dyDescent="0.2">
      <c r="A8" s="2" t="s">
        <v>5</v>
      </c>
      <c r="B8" s="2">
        <v>1645.73</v>
      </c>
      <c r="D8" s="17" t="s">
        <v>11</v>
      </c>
      <c r="E8" s="18">
        <v>345.86</v>
      </c>
      <c r="G8" s="2" t="s">
        <v>18</v>
      </c>
      <c r="H8" s="6">
        <v>299.98</v>
      </c>
      <c r="J8" s="17" t="s">
        <v>10</v>
      </c>
      <c r="K8" s="17">
        <f>360.38+1.32</f>
        <v>361.7</v>
      </c>
      <c r="M8" s="2" t="s">
        <v>143</v>
      </c>
      <c r="N8" s="12">
        <v>208</v>
      </c>
    </row>
    <row r="9" spans="1:14" ht="15" x14ac:dyDescent="0.2">
      <c r="A9" s="2" t="s">
        <v>6</v>
      </c>
      <c r="B9" s="2">
        <f>SUM(B6:B8)</f>
        <v>3438.2200000000003</v>
      </c>
      <c r="D9" s="2" t="s">
        <v>5</v>
      </c>
      <c r="E9" s="4">
        <v>556.53</v>
      </c>
      <c r="G9" s="17" t="s">
        <v>10</v>
      </c>
      <c r="H9" s="19">
        <v>788.33</v>
      </c>
      <c r="J9" s="17" t="s">
        <v>24</v>
      </c>
      <c r="K9" s="17">
        <f>65.28+13.61</f>
        <v>78.89</v>
      </c>
      <c r="M9" s="2" t="s">
        <v>144</v>
      </c>
      <c r="N9" s="12">
        <v>2787.16</v>
      </c>
    </row>
    <row r="10" spans="1:14" ht="15" x14ac:dyDescent="0.2">
      <c r="D10" s="2" t="s">
        <v>12</v>
      </c>
      <c r="E10" s="2">
        <f>SUM(E6:E9)</f>
        <v>4757.0499999999993</v>
      </c>
      <c r="G10" s="17" t="s">
        <v>19</v>
      </c>
      <c r="H10" s="19">
        <v>196.33</v>
      </c>
      <c r="J10" s="2" t="s">
        <v>25</v>
      </c>
      <c r="K10" s="2">
        <v>1600</v>
      </c>
      <c r="M10" s="2" t="s">
        <v>145</v>
      </c>
      <c r="N10" s="2">
        <f>SUM(N6:N9)</f>
        <v>4130.84</v>
      </c>
    </row>
    <row r="11" spans="1:14" ht="15" x14ac:dyDescent="0.2">
      <c r="D11" s="2" t="s">
        <v>13</v>
      </c>
      <c r="E11" s="5">
        <v>17.059999999999999</v>
      </c>
      <c r="G11" s="17" t="s">
        <v>20</v>
      </c>
      <c r="H11" s="19">
        <v>32.619999999999997</v>
      </c>
      <c r="J11" s="2" t="s">
        <v>12</v>
      </c>
      <c r="K11" s="2">
        <f>SUM(K5:K10)</f>
        <v>4084.5099999999998</v>
      </c>
      <c r="M11" s="2" t="s">
        <v>146</v>
      </c>
      <c r="N11" s="2">
        <v>26.55</v>
      </c>
    </row>
    <row r="12" spans="1:14" ht="15" x14ac:dyDescent="0.2">
      <c r="A12" s="48" t="s">
        <v>177</v>
      </c>
      <c r="B12" s="48"/>
      <c r="C12" s="48"/>
      <c r="G12" s="2" t="s">
        <v>5</v>
      </c>
      <c r="H12" s="6">
        <v>250.44</v>
      </c>
      <c r="J12" s="2" t="s">
        <v>26</v>
      </c>
      <c r="K12" s="2">
        <v>99.77</v>
      </c>
    </row>
    <row r="13" spans="1:14" ht="14.25" customHeight="1" x14ac:dyDescent="0.2">
      <c r="A13" s="48"/>
      <c r="B13" s="48"/>
      <c r="C13" s="48"/>
      <c r="G13" s="2" t="s">
        <v>12</v>
      </c>
      <c r="H13" s="2">
        <f>SUM(H5:H12)</f>
        <v>6778.8099999999995</v>
      </c>
      <c r="J13" s="2" t="s">
        <v>27</v>
      </c>
      <c r="K13" s="2">
        <v>24.59</v>
      </c>
    </row>
    <row r="14" spans="1:14" x14ac:dyDescent="0.2">
      <c r="A14" s="48"/>
      <c r="B14" s="48"/>
      <c r="C14" s="48"/>
      <c r="G14" s="2" t="s">
        <v>21</v>
      </c>
      <c r="H14" s="5">
        <v>48.9</v>
      </c>
    </row>
    <row r="15" spans="1:14" x14ac:dyDescent="0.2">
      <c r="A15" s="48"/>
      <c r="B15" s="48"/>
      <c r="C15" s="48"/>
    </row>
    <row r="18" spans="1:23" x14ac:dyDescent="0.2">
      <c r="B18">
        <f>SUM(B23:B26)</f>
        <v>219.76</v>
      </c>
      <c r="T18">
        <v>5000</v>
      </c>
    </row>
    <row r="19" spans="1:23" x14ac:dyDescent="0.2">
      <c r="A19" s="7" t="s">
        <v>29</v>
      </c>
      <c r="B19">
        <f>B32-B18</f>
        <v>5646.9999999999991</v>
      </c>
      <c r="D19" s="8" t="s">
        <v>40</v>
      </c>
      <c r="E19">
        <f>E27</f>
        <v>8438.9500000000007</v>
      </c>
      <c r="G19" s="9" t="s">
        <v>45</v>
      </c>
      <c r="H19" s="16">
        <f>H30-SUM(H23:H25)</f>
        <v>6796.17</v>
      </c>
      <c r="J19" s="7" t="s">
        <v>48</v>
      </c>
      <c r="K19">
        <f>K29-K23-K25-K26</f>
        <v>9139.35</v>
      </c>
      <c r="M19" s="7" t="s">
        <v>52</v>
      </c>
      <c r="N19">
        <f>N26</f>
        <v>5165.9399999999996</v>
      </c>
      <c r="P19" s="7" t="s">
        <v>53</v>
      </c>
      <c r="Q19" s="32">
        <f>Q28-Q23-Q24</f>
        <v>2048.3199999999997</v>
      </c>
      <c r="S19" s="3" t="s">
        <v>57</v>
      </c>
      <c r="T19" s="16">
        <f>T28-SUM(T23:T25)</f>
        <v>15913.82</v>
      </c>
      <c r="V19" s="7" t="s">
        <v>62</v>
      </c>
      <c r="W19">
        <f>W29-W26-W28</f>
        <v>4129.9699999999993</v>
      </c>
    </row>
    <row r="20" spans="1:23" x14ac:dyDescent="0.2">
      <c r="T20">
        <f>T18/T19</f>
        <v>0.31419231837484651</v>
      </c>
    </row>
    <row r="21" spans="1:23" x14ac:dyDescent="0.2">
      <c r="A21" s="2" t="s">
        <v>8</v>
      </c>
      <c r="B21" s="2"/>
      <c r="D21" s="2" t="s">
        <v>8</v>
      </c>
      <c r="E21" s="2" t="s">
        <v>2</v>
      </c>
      <c r="G21" s="2" t="s">
        <v>8</v>
      </c>
      <c r="H21" s="2"/>
      <c r="J21" s="2" t="s">
        <v>8</v>
      </c>
      <c r="K21" s="2"/>
      <c r="M21" s="2" t="s">
        <v>8</v>
      </c>
      <c r="N21" s="2"/>
      <c r="P21" s="2" t="s">
        <v>8</v>
      </c>
      <c r="Q21" s="2"/>
      <c r="S21" s="2" t="s">
        <v>8</v>
      </c>
      <c r="T21" s="2"/>
      <c r="V21" s="2" t="s">
        <v>63</v>
      </c>
      <c r="W21" s="2"/>
    </row>
    <row r="22" spans="1:23" x14ac:dyDescent="0.2">
      <c r="A22" s="2"/>
      <c r="B22" s="2" t="s">
        <v>2</v>
      </c>
      <c r="D22" s="2"/>
      <c r="G22" s="2"/>
      <c r="H22" s="2" t="s">
        <v>2</v>
      </c>
      <c r="J22" s="2"/>
      <c r="K22" s="2" t="s">
        <v>2</v>
      </c>
      <c r="M22" s="2"/>
      <c r="N22" s="2">
        <v>2016</v>
      </c>
      <c r="P22" s="2"/>
      <c r="Q22" s="2" t="s">
        <v>2</v>
      </c>
      <c r="S22" s="2"/>
      <c r="T22" s="2" t="s">
        <v>2</v>
      </c>
      <c r="V22" s="2"/>
      <c r="W22" s="2" t="s">
        <v>2</v>
      </c>
    </row>
    <row r="23" spans="1:23" ht="15" x14ac:dyDescent="0.2">
      <c r="A23" s="17" t="s">
        <v>9</v>
      </c>
      <c r="B23" s="17">
        <v>7.96</v>
      </c>
      <c r="D23" s="2" t="s">
        <v>41</v>
      </c>
      <c r="E23" s="5">
        <v>3412.7</v>
      </c>
      <c r="G23" s="17" t="s">
        <v>9</v>
      </c>
      <c r="H23" s="6">
        <v>779.58</v>
      </c>
      <c r="J23" s="17" t="s">
        <v>49</v>
      </c>
      <c r="K23" s="2">
        <v>573.97</v>
      </c>
      <c r="M23" s="2" t="s">
        <v>33</v>
      </c>
      <c r="N23" s="2">
        <v>242.36</v>
      </c>
      <c r="P23" s="17" t="s">
        <v>54</v>
      </c>
      <c r="Q23" s="10">
        <v>1.78</v>
      </c>
      <c r="S23" s="17" t="s">
        <v>58</v>
      </c>
      <c r="T23" s="4">
        <v>3771.1</v>
      </c>
      <c r="V23" s="2" t="s">
        <v>64</v>
      </c>
      <c r="W23" s="2">
        <v>444.6</v>
      </c>
    </row>
    <row r="24" spans="1:23" ht="15" x14ac:dyDescent="0.2">
      <c r="A24" s="17" t="s">
        <v>10</v>
      </c>
      <c r="B24" s="17">
        <v>43.65</v>
      </c>
      <c r="D24" s="2" t="s">
        <v>33</v>
      </c>
      <c r="E24" s="5">
        <v>3827.5</v>
      </c>
      <c r="G24" s="17" t="s">
        <v>10</v>
      </c>
      <c r="H24" s="6">
        <v>102.36</v>
      </c>
      <c r="J24" s="2" t="s">
        <v>50</v>
      </c>
      <c r="K24" s="2">
        <v>5</v>
      </c>
      <c r="M24" s="2" t="s">
        <v>42</v>
      </c>
      <c r="N24" s="2">
        <v>4900.32</v>
      </c>
      <c r="P24" s="17" t="s">
        <v>10</v>
      </c>
      <c r="Q24" s="10">
        <v>10</v>
      </c>
      <c r="S24" s="17" t="s">
        <v>59</v>
      </c>
      <c r="T24" s="4">
        <v>156.83000000000001</v>
      </c>
      <c r="V24" s="2" t="s">
        <v>65</v>
      </c>
      <c r="W24" s="2">
        <v>3331.29</v>
      </c>
    </row>
    <row r="25" spans="1:23" ht="15" x14ac:dyDescent="0.2">
      <c r="A25" s="17" t="s">
        <v>30</v>
      </c>
      <c r="B25" s="17">
        <v>133.15</v>
      </c>
      <c r="D25" s="2" t="s">
        <v>42</v>
      </c>
      <c r="E25" s="5">
        <v>1198.75</v>
      </c>
      <c r="G25" s="17" t="s">
        <v>11</v>
      </c>
      <c r="H25" s="6">
        <v>214.13</v>
      </c>
      <c r="J25" s="17" t="s">
        <v>51</v>
      </c>
      <c r="K25" s="2">
        <f>3.43+127.49+37.68</f>
        <v>168.6</v>
      </c>
      <c r="M25" s="2" t="s">
        <v>38</v>
      </c>
      <c r="N25" s="2">
        <v>23.26</v>
      </c>
      <c r="P25" s="2" t="s">
        <v>55</v>
      </c>
      <c r="Q25" s="10">
        <v>307</v>
      </c>
      <c r="S25" s="17" t="s">
        <v>24</v>
      </c>
      <c r="T25" s="4">
        <v>381.57</v>
      </c>
      <c r="V25" s="2" t="s">
        <v>66</v>
      </c>
      <c r="W25" s="2">
        <v>328.59</v>
      </c>
    </row>
    <row r="26" spans="1:23" ht="15" x14ac:dyDescent="0.2">
      <c r="A26" s="17" t="s">
        <v>31</v>
      </c>
      <c r="B26" s="17">
        <v>35</v>
      </c>
      <c r="D26" s="2" t="s">
        <v>44</v>
      </c>
      <c r="E26" s="2" t="s">
        <v>43</v>
      </c>
      <c r="G26" s="2" t="s">
        <v>46</v>
      </c>
      <c r="H26" s="6">
        <v>39.07</v>
      </c>
      <c r="J26" s="17" t="s">
        <v>11</v>
      </c>
      <c r="K26" s="2">
        <f>2.01+75.21+255.22</f>
        <v>332.44</v>
      </c>
      <c r="M26" s="2" t="s">
        <v>12</v>
      </c>
      <c r="N26" s="2">
        <f>SUM(N23:N25)</f>
        <v>5165.9399999999996</v>
      </c>
      <c r="P26" s="2" t="s">
        <v>56</v>
      </c>
      <c r="Q26" s="10">
        <v>392.82</v>
      </c>
      <c r="S26" s="2" t="s">
        <v>33</v>
      </c>
      <c r="T26" s="4">
        <v>1902.65</v>
      </c>
      <c r="V26" s="17" t="s">
        <v>58</v>
      </c>
      <c r="W26" s="17">
        <v>537.85</v>
      </c>
    </row>
    <row r="27" spans="1:23" ht="15" x14ac:dyDescent="0.2">
      <c r="A27" s="2" t="s">
        <v>32</v>
      </c>
      <c r="B27" s="2">
        <v>2585.4299999999998</v>
      </c>
      <c r="D27" s="2" t="s">
        <v>12</v>
      </c>
      <c r="E27" s="2">
        <f>SUM(E23:E26)</f>
        <v>8438.9500000000007</v>
      </c>
      <c r="G27" s="2" t="s">
        <v>47</v>
      </c>
      <c r="H27" s="6">
        <v>6438.09</v>
      </c>
      <c r="J27" s="2" t="s">
        <v>41</v>
      </c>
      <c r="K27" s="2">
        <v>8988.49</v>
      </c>
      <c r="M27" s="2" t="s">
        <v>13</v>
      </c>
      <c r="N27" s="2">
        <v>20.92</v>
      </c>
      <c r="P27" s="2" t="s">
        <v>41</v>
      </c>
      <c r="Q27" s="10">
        <v>1348.5</v>
      </c>
      <c r="S27" s="2" t="s">
        <v>60</v>
      </c>
      <c r="T27" s="11">
        <v>14011.17</v>
      </c>
      <c r="V27" s="2" t="s">
        <v>67</v>
      </c>
      <c r="W27" s="2">
        <v>25.49</v>
      </c>
    </row>
    <row r="28" spans="1:23" ht="15" x14ac:dyDescent="0.2">
      <c r="A28" s="2" t="s">
        <v>33</v>
      </c>
      <c r="B28" s="2">
        <v>210.16</v>
      </c>
      <c r="D28" s="2" t="s">
        <v>13</v>
      </c>
      <c r="E28" s="2">
        <v>17.559999999999999</v>
      </c>
      <c r="G28" s="2" t="s">
        <v>33</v>
      </c>
      <c r="H28" s="6">
        <v>137.4</v>
      </c>
      <c r="J28" s="2" t="s">
        <v>42</v>
      </c>
      <c r="K28" s="2">
        <v>145.86000000000001</v>
      </c>
      <c r="P28" s="2" t="s">
        <v>12</v>
      </c>
      <c r="Q28" s="10">
        <v>2060.1</v>
      </c>
      <c r="S28" s="2" t="s">
        <v>61</v>
      </c>
      <c r="T28" s="2">
        <f>SUM(T23:T27)</f>
        <v>20223.32</v>
      </c>
      <c r="V28" s="17" t="s">
        <v>68</v>
      </c>
      <c r="W28" s="17">
        <v>0.25</v>
      </c>
    </row>
    <row r="29" spans="1:23" ht="15" x14ac:dyDescent="0.2">
      <c r="A29" s="2" t="s">
        <v>34</v>
      </c>
      <c r="B29" s="2">
        <v>2838.41</v>
      </c>
      <c r="G29" s="2" t="s">
        <v>5</v>
      </c>
      <c r="H29" s="6">
        <v>181.61</v>
      </c>
      <c r="J29" s="2" t="s">
        <v>12</v>
      </c>
      <c r="K29" s="2">
        <f>SUM(K23:K28)</f>
        <v>10214.36</v>
      </c>
      <c r="P29" s="2" t="s">
        <v>13</v>
      </c>
      <c r="Q29" s="10">
        <v>14.73</v>
      </c>
      <c r="S29" s="2" t="s">
        <v>39</v>
      </c>
      <c r="T29" s="2">
        <v>159.46</v>
      </c>
      <c r="V29" s="2" t="s">
        <v>69</v>
      </c>
      <c r="W29" s="2">
        <v>4668.07</v>
      </c>
    </row>
    <row r="30" spans="1:23" x14ac:dyDescent="0.2">
      <c r="A30" s="2" t="s">
        <v>35</v>
      </c>
      <c r="B30" s="2">
        <v>13</v>
      </c>
      <c r="G30" s="2" t="s">
        <v>12</v>
      </c>
      <c r="H30" s="2">
        <f>SUM(H23:H29)</f>
        <v>7892.24</v>
      </c>
      <c r="J30" s="2" t="s">
        <v>13</v>
      </c>
      <c r="K30" s="2">
        <v>20.32</v>
      </c>
      <c r="V30" s="2" t="s">
        <v>13</v>
      </c>
      <c r="W30" s="2">
        <v>23.55</v>
      </c>
    </row>
    <row r="31" spans="1:23" x14ac:dyDescent="0.2">
      <c r="A31" s="2" t="s">
        <v>36</v>
      </c>
      <c r="B31" s="2"/>
      <c r="G31" s="2" t="s">
        <v>13</v>
      </c>
      <c r="H31" s="5">
        <v>65.2</v>
      </c>
    </row>
    <row r="32" spans="1:23" x14ac:dyDescent="0.2">
      <c r="A32" s="2" t="s">
        <v>12</v>
      </c>
      <c r="B32" s="2">
        <f>SUM(B23:B31)</f>
        <v>5866.7599999999993</v>
      </c>
    </row>
    <row r="33" spans="1:21" x14ac:dyDescent="0.2">
      <c r="A33" s="2" t="s">
        <v>37</v>
      </c>
      <c r="B33" s="2">
        <v>43.06</v>
      </c>
    </row>
    <row r="37" spans="1:21" x14ac:dyDescent="0.2">
      <c r="A37" s="7" t="s">
        <v>70</v>
      </c>
      <c r="B37">
        <f>B48-SUM(B43:B46)</f>
        <v>3701.5499999999997</v>
      </c>
      <c r="E37" s="7" t="s">
        <v>72</v>
      </c>
      <c r="F37" s="33">
        <f>F44-F42</f>
        <v>2379.6147000000001</v>
      </c>
      <c r="H37" s="7" t="s">
        <v>76</v>
      </c>
      <c r="I37">
        <f>I45</f>
        <v>1.2</v>
      </c>
      <c r="K37" s="7" t="s">
        <v>80</v>
      </c>
      <c r="L37">
        <f>0</f>
        <v>0</v>
      </c>
      <c r="N37" s="7" t="s">
        <v>88</v>
      </c>
      <c r="O37">
        <f>SUM(O42:O43)</f>
        <v>763.49552000000006</v>
      </c>
      <c r="Q37" s="20" t="s">
        <v>89</v>
      </c>
      <c r="R37" s="34">
        <f>R43</f>
        <v>711.88409999999999</v>
      </c>
      <c r="T37" s="20" t="s">
        <v>96</v>
      </c>
      <c r="U37" s="33">
        <f>U47-U43</f>
        <v>1449.6943999999999</v>
      </c>
    </row>
    <row r="40" spans="1:21" x14ac:dyDescent="0.2">
      <c r="A40" s="2" t="s">
        <v>8</v>
      </c>
      <c r="B40" s="2"/>
      <c r="E40" s="2" t="s">
        <v>8</v>
      </c>
      <c r="F40" s="2"/>
      <c r="H40" s="2" t="s">
        <v>8</v>
      </c>
      <c r="I40" s="2"/>
      <c r="K40" s="2" t="s">
        <v>81</v>
      </c>
      <c r="L40" s="2"/>
      <c r="N40" s="2" t="s">
        <v>8</v>
      </c>
      <c r="O40" s="2"/>
      <c r="Q40" s="21" t="s">
        <v>90</v>
      </c>
      <c r="R40" s="21"/>
      <c r="T40" s="21" t="s">
        <v>90</v>
      </c>
      <c r="U40" s="21"/>
    </row>
    <row r="41" spans="1:21" x14ac:dyDescent="0.2">
      <c r="A41" s="2"/>
      <c r="B41" s="2" t="s">
        <v>2</v>
      </c>
      <c r="E41" s="2"/>
      <c r="F41" s="2" t="s">
        <v>73</v>
      </c>
      <c r="H41" s="2"/>
      <c r="I41" s="2"/>
      <c r="K41" s="2"/>
      <c r="L41" s="2">
        <v>2017</v>
      </c>
      <c r="N41" s="2"/>
      <c r="O41" s="2">
        <v>2017</v>
      </c>
      <c r="Q41" s="21"/>
      <c r="R41" s="21">
        <v>2016</v>
      </c>
      <c r="T41" s="21"/>
      <c r="U41" s="21">
        <v>2016</v>
      </c>
    </row>
    <row r="42" spans="1:21" ht="15" x14ac:dyDescent="0.2">
      <c r="A42" s="2" t="s">
        <v>42</v>
      </c>
      <c r="B42" s="2">
        <v>3138.33</v>
      </c>
      <c r="E42" s="17" t="s">
        <v>9</v>
      </c>
      <c r="F42" s="12">
        <v>56.03586</v>
      </c>
      <c r="H42" s="17" t="s">
        <v>9</v>
      </c>
      <c r="I42" s="2">
        <v>2016</v>
      </c>
      <c r="K42" s="17" t="s">
        <v>54</v>
      </c>
      <c r="L42" s="2">
        <v>92.672190000000001</v>
      </c>
      <c r="N42" s="2" t="s">
        <v>5</v>
      </c>
      <c r="O42" s="2">
        <v>4</v>
      </c>
      <c r="Q42" s="30" t="s">
        <v>91</v>
      </c>
      <c r="R42" s="5">
        <v>1.2493700000000001</v>
      </c>
      <c r="T42" s="21" t="s">
        <v>97</v>
      </c>
      <c r="U42" s="22"/>
    </row>
    <row r="43" spans="1:21" ht="15" x14ac:dyDescent="0.2">
      <c r="A43" s="17" t="s">
        <v>54</v>
      </c>
      <c r="B43" s="2">
        <v>3.16</v>
      </c>
      <c r="E43" s="2" t="s">
        <v>74</v>
      </c>
      <c r="F43" s="12">
        <v>2379.6147000000001</v>
      </c>
      <c r="H43" s="17" t="s">
        <v>10</v>
      </c>
      <c r="I43" s="2">
        <v>0.32773999999999998</v>
      </c>
      <c r="K43" s="17" t="s">
        <v>59</v>
      </c>
      <c r="L43" s="2">
        <v>2694.3687100000002</v>
      </c>
      <c r="N43" s="2" t="s">
        <v>87</v>
      </c>
      <c r="O43" s="2">
        <v>759.49552000000006</v>
      </c>
      <c r="Q43" s="21" t="s">
        <v>92</v>
      </c>
      <c r="R43" s="5">
        <v>711.88409999999999</v>
      </c>
      <c r="T43" s="21" t="s">
        <v>98</v>
      </c>
      <c r="U43" s="22">
        <v>83.904269999999997</v>
      </c>
    </row>
    <row r="44" spans="1:21" x14ac:dyDescent="0.2">
      <c r="A44" s="17" t="s">
        <v>71</v>
      </c>
      <c r="B44" s="2">
        <v>6.5</v>
      </c>
      <c r="E44" s="2" t="s">
        <v>12</v>
      </c>
      <c r="F44" s="13">
        <f>SUM(F42:F43)</f>
        <v>2435.65056</v>
      </c>
      <c r="H44" s="17" t="s">
        <v>77</v>
      </c>
      <c r="I44" s="2" t="s">
        <v>78</v>
      </c>
      <c r="K44" s="17" t="s">
        <v>82</v>
      </c>
      <c r="L44" s="2">
        <v>6</v>
      </c>
      <c r="N44" s="2" t="s">
        <v>13</v>
      </c>
      <c r="O44" s="2">
        <v>-14.410450000000001</v>
      </c>
      <c r="Q44" s="21" t="s">
        <v>93</v>
      </c>
      <c r="R44" s="21">
        <f>SUM(R42:R43)</f>
        <v>713.13346999999999</v>
      </c>
      <c r="T44" s="21" t="s">
        <v>99</v>
      </c>
      <c r="U44" s="22">
        <v>9.1248500000000003</v>
      </c>
    </row>
    <row r="45" spans="1:21" x14ac:dyDescent="0.2">
      <c r="A45" s="17" t="s">
        <v>10</v>
      </c>
      <c r="B45" s="2">
        <v>145.97</v>
      </c>
      <c r="E45" s="2" t="s">
        <v>75</v>
      </c>
      <c r="F45" s="14">
        <v>24.131910000000001</v>
      </c>
      <c r="H45" s="2" t="s">
        <v>79</v>
      </c>
      <c r="I45" s="2">
        <v>1.2</v>
      </c>
      <c r="K45" s="2" t="s">
        <v>83</v>
      </c>
      <c r="L45" s="13">
        <f>SUM(L42:L44)</f>
        <v>2793.0409</v>
      </c>
      <c r="N45" s="2" t="s">
        <v>12</v>
      </c>
      <c r="O45" s="2">
        <f>SUM(O42:O44)</f>
        <v>749.08507000000009</v>
      </c>
      <c r="Q45" s="21" t="s">
        <v>94</v>
      </c>
      <c r="R45" s="5">
        <v>2.35</v>
      </c>
      <c r="T45" s="21" t="s">
        <v>100</v>
      </c>
      <c r="U45" s="22">
        <v>1439.5695499999999</v>
      </c>
    </row>
    <row r="46" spans="1:21" x14ac:dyDescent="0.2">
      <c r="A46" s="17" t="s">
        <v>11</v>
      </c>
      <c r="B46" s="2">
        <v>52.52</v>
      </c>
      <c r="H46" s="2" t="s">
        <v>12</v>
      </c>
      <c r="I46" s="15">
        <v>1024.1644699999999</v>
      </c>
      <c r="K46" s="2" t="s">
        <v>84</v>
      </c>
      <c r="L46" s="2">
        <v>-24.378209999999999</v>
      </c>
      <c r="Q46" s="21" t="s">
        <v>95</v>
      </c>
      <c r="R46" s="22">
        <f>R44-R45</f>
        <v>710.78346999999997</v>
      </c>
      <c r="T46" s="21" t="s">
        <v>101</v>
      </c>
      <c r="U46" s="22">
        <v>1</v>
      </c>
    </row>
    <row r="47" spans="1:21" x14ac:dyDescent="0.2">
      <c r="A47" s="2" t="s">
        <v>5</v>
      </c>
      <c r="B47" s="2">
        <f>182.19+196.85+184.18</f>
        <v>563.22</v>
      </c>
      <c r="H47" s="2" t="s">
        <v>13</v>
      </c>
      <c r="I47" s="2">
        <f>SUM(I43:I46)</f>
        <v>1025.6922099999999</v>
      </c>
      <c r="K47" s="2" t="s">
        <v>85</v>
      </c>
      <c r="L47" s="2" t="s">
        <v>86</v>
      </c>
      <c r="T47" s="21" t="s">
        <v>93</v>
      </c>
      <c r="U47" s="22">
        <f>SUM(U43:U46)</f>
        <v>1533.5986699999999</v>
      </c>
    </row>
    <row r="48" spans="1:21" x14ac:dyDescent="0.2">
      <c r="A48" s="2" t="s">
        <v>12</v>
      </c>
      <c r="B48" s="2">
        <f>SUM(B42:B47)</f>
        <v>3909.7</v>
      </c>
      <c r="K48" s="2"/>
      <c r="L48" s="2">
        <f>SUM(L9:L11,L18:L20,L26,L34:L36,L42:L43)</f>
        <v>2787.0409</v>
      </c>
      <c r="T48" s="21" t="s">
        <v>94</v>
      </c>
      <c r="U48" s="22">
        <v>67.708160000000007</v>
      </c>
    </row>
    <row r="49" spans="1:21" x14ac:dyDescent="0.2">
      <c r="A49" s="2" t="s">
        <v>13</v>
      </c>
      <c r="B49" s="2">
        <f>-45.76-51.6</f>
        <v>-97.36</v>
      </c>
      <c r="T49" s="21" t="s">
        <v>95</v>
      </c>
      <c r="U49" s="22">
        <f>U47-U48</f>
        <v>1465.8905099999999</v>
      </c>
    </row>
    <row r="50" spans="1:21" x14ac:dyDescent="0.2">
      <c r="T50" s="21" t="s">
        <v>120</v>
      </c>
    </row>
    <row r="56" spans="1:21" x14ac:dyDescent="0.2">
      <c r="A56" s="23" t="s">
        <v>102</v>
      </c>
      <c r="E56" s="25" t="s">
        <v>106</v>
      </c>
      <c r="F56" s="35">
        <f>F60</f>
        <v>78.983999999999995</v>
      </c>
      <c r="H56" s="25" t="s">
        <v>110</v>
      </c>
      <c r="I56" s="36">
        <f>I62</f>
        <v>142.75730999999999</v>
      </c>
      <c r="L56" s="25" t="s">
        <v>115</v>
      </c>
      <c r="O56" s="25" t="s">
        <v>116</v>
      </c>
      <c r="P56" s="37">
        <f>SUM(P61:P63)</f>
        <v>63.418611708699999</v>
      </c>
    </row>
    <row r="58" spans="1:21" x14ac:dyDescent="0.2">
      <c r="A58" s="24" t="s">
        <v>103</v>
      </c>
      <c r="B58" s="24"/>
      <c r="E58" s="24" t="s">
        <v>90</v>
      </c>
      <c r="F58" s="24"/>
      <c r="H58" s="24" t="s">
        <v>111</v>
      </c>
      <c r="I58" s="24"/>
      <c r="O58" s="24" t="s">
        <v>103</v>
      </c>
      <c r="P58" s="24"/>
    </row>
    <row r="59" spans="1:21" x14ac:dyDescent="0.2">
      <c r="A59" s="24"/>
      <c r="B59" s="24">
        <v>2016</v>
      </c>
      <c r="E59" s="24"/>
      <c r="F59" s="24">
        <v>2016</v>
      </c>
      <c r="H59" s="24"/>
      <c r="I59" s="24">
        <v>2016</v>
      </c>
      <c r="O59" s="24"/>
      <c r="P59" s="24">
        <v>2016</v>
      </c>
    </row>
    <row r="60" spans="1:21" x14ac:dyDescent="0.2">
      <c r="A60" s="24" t="s">
        <v>104</v>
      </c>
      <c r="B60" s="24">
        <v>0</v>
      </c>
      <c r="E60" s="24" t="s">
        <v>107</v>
      </c>
      <c r="F60" s="26">
        <v>78.983999999999995</v>
      </c>
      <c r="H60" s="31" t="s">
        <v>91</v>
      </c>
      <c r="I60" s="26" t="s">
        <v>112</v>
      </c>
      <c r="O60" s="31" t="s">
        <v>91</v>
      </c>
      <c r="P60" s="29" t="s">
        <v>112</v>
      </c>
    </row>
    <row r="61" spans="1:21" x14ac:dyDescent="0.2">
      <c r="A61" s="24" t="s">
        <v>105</v>
      </c>
      <c r="B61" s="24">
        <f>B60</f>
        <v>0</v>
      </c>
      <c r="E61" s="27" t="s">
        <v>108</v>
      </c>
      <c r="F61" s="26"/>
      <c r="H61" s="31" t="s">
        <v>113</v>
      </c>
      <c r="I61" s="26">
        <v>6.7</v>
      </c>
      <c r="O61" s="24" t="s">
        <v>117</v>
      </c>
      <c r="P61" s="14">
        <v>49.15</v>
      </c>
    </row>
    <row r="62" spans="1:21" x14ac:dyDescent="0.2">
      <c r="E62" s="27" t="s">
        <v>109</v>
      </c>
      <c r="F62" s="26">
        <v>78.983999999999995</v>
      </c>
      <c r="H62" s="24" t="s">
        <v>114</v>
      </c>
      <c r="I62" s="28">
        <v>142.75730999999999</v>
      </c>
      <c r="O62" s="24" t="s">
        <v>114</v>
      </c>
      <c r="P62" s="14">
        <v>14.102498947400001</v>
      </c>
    </row>
    <row r="63" spans="1:21" x14ac:dyDescent="0.2">
      <c r="E63" s="27" t="s">
        <v>94</v>
      </c>
      <c r="F63" s="26">
        <v>1.20529</v>
      </c>
      <c r="H63" s="24" t="s">
        <v>105</v>
      </c>
      <c r="I63" s="26">
        <f>SUM(I61:I62)</f>
        <v>149.45730999999998</v>
      </c>
      <c r="O63" s="24" t="s">
        <v>118</v>
      </c>
      <c r="P63" s="14">
        <v>0.16611276129999999</v>
      </c>
    </row>
    <row r="64" spans="1:21" x14ac:dyDescent="0.2">
      <c r="E64" s="27" t="s">
        <v>95</v>
      </c>
      <c r="F64" s="26">
        <v>77.778710000000004</v>
      </c>
      <c r="H64" s="24" t="s">
        <v>94</v>
      </c>
      <c r="I64" s="5">
        <v>2.4623499999999998</v>
      </c>
      <c r="O64" s="24" t="s">
        <v>105</v>
      </c>
      <c r="P64" s="29">
        <f>SUM(P61:P63)</f>
        <v>63.418611708699999</v>
      </c>
    </row>
    <row r="65" spans="8:16" x14ac:dyDescent="0.2">
      <c r="H65" s="24" t="s">
        <v>95</v>
      </c>
      <c r="I65" s="26">
        <f>I63-I64</f>
        <v>146.99495999999999</v>
      </c>
      <c r="O65" s="24" t="s">
        <v>119</v>
      </c>
      <c r="P65" s="14">
        <v>0.94874999999999998</v>
      </c>
    </row>
    <row r="66" spans="8:16" x14ac:dyDescent="0.2">
      <c r="O66" s="24" t="s">
        <v>95</v>
      </c>
      <c r="P66" s="29">
        <f>P64-P65</f>
        <v>62.469861708700002</v>
      </c>
    </row>
  </sheetData>
  <mergeCells count="1">
    <mergeCell ref="A12:C1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69"/>
  <sheetViews>
    <sheetView topLeftCell="B22" workbookViewId="0">
      <selection activeCell="P53" sqref="P53"/>
    </sheetView>
  </sheetViews>
  <sheetFormatPr defaultRowHeight="14.25" x14ac:dyDescent="0.2"/>
  <cols>
    <col min="1" max="1" width="9.5" bestFit="1" customWidth="1"/>
    <col min="2" max="2" width="10.125" bestFit="1" customWidth="1"/>
    <col min="3" max="3" width="13.125" bestFit="1" customWidth="1"/>
    <col min="4" max="5" width="9.875" bestFit="1" customWidth="1"/>
    <col min="6" max="6" width="10.5" customWidth="1"/>
    <col min="8" max="8" width="12" bestFit="1" customWidth="1"/>
    <col min="14" max="14" width="12.5" bestFit="1" customWidth="1"/>
    <col min="15" max="15" width="12.875" bestFit="1" customWidth="1"/>
    <col min="16" max="16" width="9.5" bestFit="1" customWidth="1"/>
    <col min="17" max="17" width="12.875" bestFit="1" customWidth="1"/>
    <col min="18" max="18" width="16.875" bestFit="1" customWidth="1"/>
  </cols>
  <sheetData>
    <row r="3" spans="1:19" x14ac:dyDescent="0.2">
      <c r="A3" t="s">
        <v>148</v>
      </c>
      <c r="F3" t="s">
        <v>156</v>
      </c>
      <c r="G3" t="s">
        <v>157</v>
      </c>
    </row>
    <row r="4" spans="1:19" x14ac:dyDescent="0.2">
      <c r="A4" t="s">
        <v>149</v>
      </c>
      <c r="B4" s="38">
        <v>0.1</v>
      </c>
      <c r="F4" t="s">
        <v>158</v>
      </c>
      <c r="G4" s="40">
        <v>1.4999999999999999E-2</v>
      </c>
    </row>
    <row r="5" spans="1:19" x14ac:dyDescent="0.2">
      <c r="A5" t="s">
        <v>150</v>
      </c>
      <c r="B5" s="38">
        <v>0.3</v>
      </c>
      <c r="F5" t="s">
        <v>159</v>
      </c>
      <c r="G5" s="38">
        <v>0.03</v>
      </c>
    </row>
    <row r="6" spans="1:19" x14ac:dyDescent="0.2">
      <c r="A6" t="s">
        <v>151</v>
      </c>
      <c r="B6" s="38">
        <v>0.2</v>
      </c>
      <c r="F6" t="s">
        <v>160</v>
      </c>
      <c r="G6" s="38">
        <v>0.3</v>
      </c>
    </row>
    <row r="7" spans="1:19" x14ac:dyDescent="0.2">
      <c r="A7" t="s">
        <v>154</v>
      </c>
      <c r="B7" s="38">
        <v>0.2</v>
      </c>
      <c r="F7" t="s">
        <v>161</v>
      </c>
      <c r="G7" s="38">
        <v>0.6</v>
      </c>
    </row>
    <row r="8" spans="1:19" x14ac:dyDescent="0.2">
      <c r="B8" s="38"/>
      <c r="F8" t="s">
        <v>162</v>
      </c>
      <c r="G8" s="38">
        <v>1</v>
      </c>
    </row>
    <row r="9" spans="1:19" x14ac:dyDescent="0.2">
      <c r="B9" s="38"/>
    </row>
    <row r="10" spans="1:19" x14ac:dyDescent="0.2">
      <c r="B10" s="38"/>
    </row>
    <row r="11" spans="1:19" x14ac:dyDescent="0.2">
      <c r="E11" t="s">
        <v>167</v>
      </c>
      <c r="J11" t="s">
        <v>168</v>
      </c>
    </row>
    <row r="12" spans="1:19" x14ac:dyDescent="0.2">
      <c r="B12" t="s">
        <v>121</v>
      </c>
      <c r="C12" t="s">
        <v>147</v>
      </c>
      <c r="D12" t="s">
        <v>122</v>
      </c>
      <c r="E12" t="s">
        <v>163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159</v>
      </c>
      <c r="L12" t="s">
        <v>160</v>
      </c>
      <c r="M12" t="s">
        <v>161</v>
      </c>
      <c r="N12" t="s">
        <v>162</v>
      </c>
      <c r="O12" t="s">
        <v>169</v>
      </c>
      <c r="P12" t="s">
        <v>170</v>
      </c>
      <c r="Q12" t="s">
        <v>173</v>
      </c>
      <c r="R12" t="s">
        <v>175</v>
      </c>
      <c r="S12" t="s">
        <v>171</v>
      </c>
    </row>
    <row r="13" spans="1:19" x14ac:dyDescent="0.2">
      <c r="A13" s="47" t="s">
        <v>152</v>
      </c>
      <c r="B13" t="s">
        <v>123</v>
      </c>
      <c r="C13" s="39">
        <f>数据底稿!B2</f>
        <v>1645.73</v>
      </c>
      <c r="D13" s="39">
        <f>C13*$B$4</f>
        <v>164.57300000000001</v>
      </c>
      <c r="E13" s="16">
        <f>D13*I45</f>
        <v>155.57376741741206</v>
      </c>
      <c r="F13" s="16">
        <f t="shared" ref="F13:I13" si="0">E13*J45</f>
        <v>6.0716129819110813</v>
      </c>
      <c r="G13" s="16">
        <f t="shared" si="0"/>
        <v>4.5911784157344239E-2</v>
      </c>
      <c r="H13" s="16">
        <f t="shared" si="0"/>
        <v>3.0751759886994706E-4</v>
      </c>
      <c r="I13" s="16">
        <f t="shared" si="0"/>
        <v>4.2909920315615335E-7</v>
      </c>
      <c r="J13" s="16">
        <f>E13*$G$4</f>
        <v>2.3336065112611806</v>
      </c>
      <c r="K13" s="16">
        <f>F13*$G$5</f>
        <v>0.18214838945733244</v>
      </c>
      <c r="L13" s="16">
        <f>G13*$G$6</f>
        <v>1.3773535247203272E-2</v>
      </c>
      <c r="M13" s="16">
        <f>H13*$G$7</f>
        <v>1.8451055932196822E-4</v>
      </c>
      <c r="N13" s="16">
        <f>I13*$G$8</f>
        <v>4.2909920315615335E-7</v>
      </c>
      <c r="O13" s="16">
        <f>SUM(J13:N13)</f>
        <v>2.5297133756242416</v>
      </c>
      <c r="P13" s="39">
        <f>O13*2</f>
        <v>5.0594267512484832</v>
      </c>
      <c r="Q13" s="42">
        <f>O45</f>
        <v>0</v>
      </c>
      <c r="R13" s="42"/>
      <c r="S13" s="44" t="e">
        <f>O13/Q13</f>
        <v>#DIV/0!</v>
      </c>
    </row>
    <row r="14" spans="1:19" x14ac:dyDescent="0.2">
      <c r="A14" s="47"/>
      <c r="B14" t="s">
        <v>124</v>
      </c>
      <c r="C14" s="39">
        <f>数据底稿!E2</f>
        <v>556.53</v>
      </c>
      <c r="D14" s="39">
        <f t="shared" ref="D14:D17" si="1">C14*$B$4</f>
        <v>55.652999999999999</v>
      </c>
      <c r="E14" s="16">
        <f t="shared" ref="E14:E37" si="2">D14*I46</f>
        <v>53.231860503712269</v>
      </c>
      <c r="F14" s="16">
        <f t="shared" ref="F14:F37" si="3">E14*J46</f>
        <v>1.5124513680081912</v>
      </c>
      <c r="G14" s="16">
        <f t="shared" ref="G14:G37" si="4">F14*K46</f>
        <v>9.4332450440608503E-3</v>
      </c>
      <c r="H14" s="16">
        <f t="shared" ref="H14:H37" si="5">G14*L46</f>
        <v>6.791442316658901E-5</v>
      </c>
      <c r="I14" s="16">
        <f t="shared" ref="I14:I37" si="6">H14*M46</f>
        <v>1.1240858026636072E-7</v>
      </c>
      <c r="J14" s="16">
        <f t="shared" ref="J14:J37" si="7">E14*$G$4</f>
        <v>0.79847790755568404</v>
      </c>
      <c r="K14" s="16">
        <f t="shared" ref="K14:K37" si="8">F14*$G$5</f>
        <v>4.5373541040245734E-2</v>
      </c>
      <c r="L14" s="16">
        <f t="shared" ref="L14:L37" si="9">G14*$G$6</f>
        <v>2.8299735132182552E-3</v>
      </c>
      <c r="M14" s="16">
        <f t="shared" ref="M14:M37" si="10">H14*$G$7</f>
        <v>4.0748653899953407E-5</v>
      </c>
      <c r="N14" s="16">
        <f t="shared" ref="N14:N37" si="11">I14*$G$8</f>
        <v>1.1240858026636072E-7</v>
      </c>
      <c r="O14" s="16">
        <f t="shared" ref="O14:O37" si="12">SUM(J14:N14)</f>
        <v>0.84672228317162812</v>
      </c>
      <c r="P14" s="39">
        <f t="shared" ref="P14:P37" si="13">O14*2</f>
        <v>1.6934445663432562</v>
      </c>
      <c r="Q14" s="42">
        <f>P46</f>
        <v>17.059999999999999</v>
      </c>
      <c r="R14" s="42"/>
      <c r="S14" s="44">
        <f t="shared" ref="S14:S37" si="14">O14/Q14</f>
        <v>4.9632021287903179E-2</v>
      </c>
    </row>
    <row r="15" spans="1:19" ht="12.75" customHeight="1" x14ac:dyDescent="0.2">
      <c r="A15" s="47"/>
      <c r="B15" t="s">
        <v>125</v>
      </c>
      <c r="C15" s="39">
        <f>数据底稿!H2</f>
        <v>3270.6499999999996</v>
      </c>
      <c r="D15" s="39">
        <f t="shared" si="1"/>
        <v>327.065</v>
      </c>
      <c r="E15" s="16">
        <f t="shared" si="2"/>
        <v>308.05144855587611</v>
      </c>
      <c r="F15" s="16">
        <f t="shared" si="3"/>
        <v>11.149763241899922</v>
      </c>
      <c r="G15" s="16">
        <f t="shared" si="4"/>
        <v>4.2701830636199908E-2</v>
      </c>
      <c r="H15" s="16">
        <f t="shared" si="5"/>
        <v>6.7643890741183633E-4</v>
      </c>
      <c r="I15" s="16">
        <f t="shared" si="6"/>
        <v>1.5345383043803817E-6</v>
      </c>
      <c r="J15" s="16">
        <f t="shared" si="7"/>
        <v>4.6207717283381413</v>
      </c>
      <c r="K15" s="16">
        <f t="shared" si="8"/>
        <v>0.33449289725699766</v>
      </c>
      <c r="L15" s="16">
        <f t="shared" si="9"/>
        <v>1.2810549190859973E-2</v>
      </c>
      <c r="M15" s="16">
        <f t="shared" si="10"/>
        <v>4.0586334444710177E-4</v>
      </c>
      <c r="N15" s="16">
        <f t="shared" si="11"/>
        <v>1.5345383043803817E-6</v>
      </c>
      <c r="O15" s="16">
        <f t="shared" si="12"/>
        <v>4.9684825726687505</v>
      </c>
      <c r="P15" s="39">
        <f t="shared" si="13"/>
        <v>9.936965145337501</v>
      </c>
      <c r="Q15" s="42">
        <f t="shared" ref="Q14:Q37" si="15">O47</f>
        <v>4347.78</v>
      </c>
      <c r="R15" s="42"/>
      <c r="S15" s="44">
        <f t="shared" si="14"/>
        <v>1.1427631050027257E-3</v>
      </c>
    </row>
    <row r="16" spans="1:19" x14ac:dyDescent="0.2">
      <c r="A16" s="47"/>
      <c r="B16" t="s">
        <v>126</v>
      </c>
      <c r="C16" s="39">
        <f>数据底稿!K2</f>
        <v>1699.77</v>
      </c>
      <c r="D16" s="39">
        <f t="shared" si="1"/>
        <v>169.977</v>
      </c>
      <c r="E16" s="16">
        <f t="shared" si="2"/>
        <v>162.92230295652786</v>
      </c>
      <c r="F16" s="16">
        <f t="shared" si="3"/>
        <v>4.5128793675154446</v>
      </c>
      <c r="G16" s="16">
        <f t="shared" si="4"/>
        <v>2.7064048621139283E-2</v>
      </c>
      <c r="H16" s="16">
        <f t="shared" si="5"/>
        <v>8.0980961116565526E-5</v>
      </c>
      <c r="I16" s="16">
        <f t="shared" si="6"/>
        <v>3.8992230174297698E-7</v>
      </c>
      <c r="J16" s="16">
        <f t="shared" si="7"/>
        <v>2.4438345443479177</v>
      </c>
      <c r="K16" s="16">
        <f t="shared" si="8"/>
        <v>0.13538638102546333</v>
      </c>
      <c r="L16" s="16">
        <f t="shared" si="9"/>
        <v>8.1192145863417838E-3</v>
      </c>
      <c r="M16" s="16">
        <f t="shared" si="10"/>
        <v>4.8588576669939316E-5</v>
      </c>
      <c r="N16" s="16">
        <f t="shared" si="11"/>
        <v>3.8992230174297698E-7</v>
      </c>
      <c r="O16" s="16">
        <f t="shared" si="12"/>
        <v>2.5873891184586943</v>
      </c>
      <c r="P16" s="39">
        <f t="shared" si="13"/>
        <v>5.1747782369173887</v>
      </c>
      <c r="Q16" s="42">
        <f t="shared" si="15"/>
        <v>0</v>
      </c>
      <c r="R16" s="42"/>
      <c r="S16" s="44" t="e">
        <f t="shared" si="14"/>
        <v>#DIV/0!</v>
      </c>
    </row>
    <row r="17" spans="1:19" x14ac:dyDescent="0.2">
      <c r="A17" s="47"/>
      <c r="B17" t="s">
        <v>127</v>
      </c>
      <c r="C17" s="39">
        <f>数据底稿!N2</f>
        <v>2787.16</v>
      </c>
      <c r="D17" s="39">
        <f t="shared" si="1"/>
        <v>278.71600000000001</v>
      </c>
      <c r="E17" s="16">
        <f t="shared" si="2"/>
        <v>266.44621189905052</v>
      </c>
      <c r="F17" s="16">
        <f t="shared" si="3"/>
        <v>7.7085112841331771</v>
      </c>
      <c r="G17" s="16">
        <f t="shared" si="4"/>
        <v>3.3140191853110235E-2</v>
      </c>
      <c r="H17" s="16">
        <f t="shared" si="5"/>
        <v>1.9207014758441216E-4</v>
      </c>
      <c r="I17" s="16">
        <f t="shared" si="6"/>
        <v>9.5974707779871214E-7</v>
      </c>
      <c r="J17" s="16">
        <f t="shared" si="7"/>
        <v>3.9966931784857578</v>
      </c>
      <c r="K17" s="16">
        <f t="shared" si="8"/>
        <v>0.2312553385239953</v>
      </c>
      <c r="L17" s="16">
        <f t="shared" si="9"/>
        <v>9.9420575559330693E-3</v>
      </c>
      <c r="M17" s="16">
        <f t="shared" si="10"/>
        <v>1.1524208855064729E-4</v>
      </c>
      <c r="N17" s="16">
        <f t="shared" si="11"/>
        <v>9.5974707779871214E-7</v>
      </c>
      <c r="O17" s="16">
        <f t="shared" si="12"/>
        <v>4.2380067764013143</v>
      </c>
      <c r="P17" s="39">
        <f t="shared" si="13"/>
        <v>8.4760135528026286</v>
      </c>
      <c r="Q17" s="42">
        <f t="shared" si="15"/>
        <v>0</v>
      </c>
      <c r="R17" s="42"/>
      <c r="S17" s="44" t="e">
        <f t="shared" si="14"/>
        <v>#DIV/0!</v>
      </c>
    </row>
    <row r="18" spans="1:19" x14ac:dyDescent="0.2">
      <c r="A18" s="47" t="s">
        <v>150</v>
      </c>
      <c r="B18" t="s">
        <v>128</v>
      </c>
      <c r="C18" s="39">
        <f>数据底稿!B19</f>
        <v>5646.9999999999991</v>
      </c>
      <c r="D18" s="39">
        <f>C18*$B$5</f>
        <v>1694.0999999999997</v>
      </c>
      <c r="E18" s="16">
        <f t="shared" si="2"/>
        <v>1636.0985514435563</v>
      </c>
      <c r="F18" s="16">
        <f t="shared" si="3"/>
        <v>28.072522715406361</v>
      </c>
      <c r="G18" s="16">
        <f t="shared" si="4"/>
        <v>0.17084887627430612</v>
      </c>
      <c r="H18" s="16">
        <f t="shared" si="5"/>
        <v>1.1356822937607092E-3</v>
      </c>
      <c r="I18" s="16">
        <f t="shared" si="6"/>
        <v>4.9354922055738699E-6</v>
      </c>
      <c r="J18" s="16">
        <f t="shared" si="7"/>
        <v>24.541478271653343</v>
      </c>
      <c r="K18" s="16">
        <f t="shared" si="8"/>
        <v>0.84217568146219079</v>
      </c>
      <c r="L18" s="16">
        <f t="shared" si="9"/>
        <v>5.1254662882291836E-2</v>
      </c>
      <c r="M18" s="16">
        <f t="shared" si="10"/>
        <v>6.8140937625642544E-4</v>
      </c>
      <c r="N18" s="16">
        <f t="shared" si="11"/>
        <v>4.9354922055738699E-6</v>
      </c>
      <c r="O18" s="16">
        <f t="shared" si="12"/>
        <v>25.43559496086629</v>
      </c>
      <c r="P18" s="39">
        <f t="shared" si="13"/>
        <v>50.871189921732579</v>
      </c>
      <c r="Q18" s="42">
        <f t="shared" si="15"/>
        <v>1452.02</v>
      </c>
      <c r="R18" s="42"/>
      <c r="S18" s="44">
        <f t="shared" si="14"/>
        <v>1.751738609720685E-2</v>
      </c>
    </row>
    <row r="19" spans="1:19" x14ac:dyDescent="0.2">
      <c r="A19" s="47"/>
      <c r="B19" t="s">
        <v>129</v>
      </c>
      <c r="C19" s="39">
        <f>数据底稿!E19</f>
        <v>8438.9500000000007</v>
      </c>
      <c r="D19" s="39">
        <f t="shared" ref="D19:D25" si="16">C19*$B$5</f>
        <v>2531.6849999999999</v>
      </c>
      <c r="E19" s="16">
        <f t="shared" si="2"/>
        <v>2431.6451551149348</v>
      </c>
      <c r="F19" s="16">
        <f t="shared" si="3"/>
        <v>55.873413397903768</v>
      </c>
      <c r="G19" s="16">
        <f t="shared" si="4"/>
        <v>0.51240726118212998</v>
      </c>
      <c r="H19" s="16">
        <f t="shared" si="5"/>
        <v>3.0358907058144536E-3</v>
      </c>
      <c r="I19" s="16">
        <f t="shared" si="6"/>
        <v>4.3774018190366263E-6</v>
      </c>
      <c r="J19" s="16">
        <f t="shared" si="7"/>
        <v>36.47467732672402</v>
      </c>
      <c r="K19" s="16">
        <f t="shared" si="8"/>
        <v>1.6762024019371129</v>
      </c>
      <c r="L19" s="16">
        <f t="shared" si="9"/>
        <v>0.153722178354639</v>
      </c>
      <c r="M19" s="16">
        <f t="shared" si="10"/>
        <v>1.8215344234886722E-3</v>
      </c>
      <c r="N19" s="16">
        <f t="shared" si="11"/>
        <v>4.3774018190366263E-6</v>
      </c>
      <c r="O19" s="16">
        <f t="shared" si="12"/>
        <v>38.306427818841087</v>
      </c>
      <c r="P19" s="39">
        <f t="shared" si="13"/>
        <v>76.612855637682173</v>
      </c>
      <c r="Q19" s="42">
        <f t="shared" si="15"/>
        <v>873.12</v>
      </c>
      <c r="R19" s="42"/>
      <c r="S19" s="44">
        <f t="shared" si="14"/>
        <v>4.387303900820172E-2</v>
      </c>
    </row>
    <row r="20" spans="1:19" x14ac:dyDescent="0.2">
      <c r="A20" s="47"/>
      <c r="B20" t="s">
        <v>130</v>
      </c>
      <c r="C20" s="39">
        <f>数据底稿!H19</f>
        <v>6796.17</v>
      </c>
      <c r="D20" s="39">
        <f t="shared" si="16"/>
        <v>2038.8509999999999</v>
      </c>
      <c r="E20" s="16">
        <f t="shared" si="2"/>
        <v>1918.1262185595572</v>
      </c>
      <c r="F20" s="16">
        <f t="shared" si="3"/>
        <v>73.40992842438915</v>
      </c>
      <c r="G20" s="16">
        <f t="shared" si="4"/>
        <v>0.66191692583515671</v>
      </c>
      <c r="H20" s="16">
        <f t="shared" si="5"/>
        <v>4.8838872547406435E-3</v>
      </c>
      <c r="I20" s="16">
        <f t="shared" si="6"/>
        <v>2.2199003566816163E-5</v>
      </c>
      <c r="J20" s="16">
        <f t="shared" si="7"/>
        <v>28.771893278393357</v>
      </c>
      <c r="K20" s="16">
        <f t="shared" si="8"/>
        <v>2.2022978527316743</v>
      </c>
      <c r="L20" s="16">
        <f t="shared" si="9"/>
        <v>0.198575077750547</v>
      </c>
      <c r="M20" s="16">
        <f t="shared" si="10"/>
        <v>2.930332352844386E-3</v>
      </c>
      <c r="N20" s="16">
        <f t="shared" si="11"/>
        <v>2.2199003566816163E-5</v>
      </c>
      <c r="O20" s="16">
        <f t="shared" si="12"/>
        <v>31.175718740231989</v>
      </c>
      <c r="P20" s="39">
        <f t="shared" si="13"/>
        <v>62.351437480463979</v>
      </c>
      <c r="Q20" s="42">
        <f t="shared" si="15"/>
        <v>1084</v>
      </c>
      <c r="R20" s="42"/>
      <c r="S20" s="44">
        <f t="shared" si="14"/>
        <v>2.8759888136745376E-2</v>
      </c>
    </row>
    <row r="21" spans="1:19" x14ac:dyDescent="0.2">
      <c r="A21" s="47"/>
      <c r="B21" t="s">
        <v>131</v>
      </c>
      <c r="C21" s="39">
        <f>数据底稿!K19</f>
        <v>9139.35</v>
      </c>
      <c r="D21" s="39">
        <f t="shared" si="16"/>
        <v>2741.8049999999998</v>
      </c>
      <c r="E21" s="16">
        <f t="shared" si="2"/>
        <v>2594.7159486552459</v>
      </c>
      <c r="F21" s="16">
        <f t="shared" si="3"/>
        <v>95.46865413417666</v>
      </c>
      <c r="G21" s="16">
        <f t="shared" si="4"/>
        <v>0.59169319216335881</v>
      </c>
      <c r="H21" s="16">
        <f t="shared" si="5"/>
        <v>4.4450877435612129E-3</v>
      </c>
      <c r="I21" s="16">
        <f t="shared" si="6"/>
        <v>1.3971104524021293E-5</v>
      </c>
      <c r="J21" s="16">
        <f t="shared" si="7"/>
        <v>38.92073922982869</v>
      </c>
      <c r="K21" s="16">
        <f t="shared" si="8"/>
        <v>2.8640596240252996</v>
      </c>
      <c r="L21" s="16">
        <f t="shared" si="9"/>
        <v>0.17750795764900765</v>
      </c>
      <c r="M21" s="16">
        <f t="shared" si="10"/>
        <v>2.6670526461367275E-3</v>
      </c>
      <c r="N21" s="16">
        <f t="shared" si="11"/>
        <v>1.3971104524021293E-5</v>
      </c>
      <c r="O21" s="16">
        <f t="shared" si="12"/>
        <v>41.964987835253659</v>
      </c>
      <c r="P21" s="39">
        <f t="shared" si="13"/>
        <v>83.929975670507318</v>
      </c>
      <c r="Q21" s="42">
        <f t="shared" si="15"/>
        <v>0</v>
      </c>
      <c r="R21" s="42"/>
      <c r="S21" s="44" t="e">
        <f t="shared" si="14"/>
        <v>#DIV/0!</v>
      </c>
    </row>
    <row r="22" spans="1:19" x14ac:dyDescent="0.2">
      <c r="A22" s="47"/>
      <c r="B22" t="s">
        <v>132</v>
      </c>
      <c r="C22" s="39">
        <f>数据底稿!T19</f>
        <v>15913.82</v>
      </c>
      <c r="D22" s="39">
        <f t="shared" si="16"/>
        <v>4774.1459999999997</v>
      </c>
      <c r="E22" s="16">
        <f t="shared" si="2"/>
        <v>4560.8117302991905</v>
      </c>
      <c r="F22" s="16">
        <f t="shared" si="3"/>
        <v>130.69190553504666</v>
      </c>
      <c r="G22" s="16">
        <f t="shared" si="4"/>
        <v>0.78912875054153164</v>
      </c>
      <c r="H22" s="16">
        <f t="shared" si="5"/>
        <v>5.6601089591358372E-3</v>
      </c>
      <c r="I22" s="16">
        <f t="shared" si="6"/>
        <v>1.5957158623165289E-5</v>
      </c>
      <c r="J22" s="16">
        <f t="shared" si="7"/>
        <v>68.41217595448785</v>
      </c>
      <c r="K22" s="16">
        <f t="shared" si="8"/>
        <v>3.9207571660513998</v>
      </c>
      <c r="L22" s="16">
        <f t="shared" si="9"/>
        <v>0.23673862516245947</v>
      </c>
      <c r="M22" s="16">
        <f t="shared" si="10"/>
        <v>3.3960653754815024E-3</v>
      </c>
      <c r="N22" s="16">
        <f t="shared" si="11"/>
        <v>1.5957158623165289E-5</v>
      </c>
      <c r="O22" s="16">
        <f t="shared" si="12"/>
        <v>72.573083768235819</v>
      </c>
      <c r="P22" s="39">
        <f t="shared" si="13"/>
        <v>145.14616753647164</v>
      </c>
      <c r="Q22" s="42">
        <f t="shared" si="15"/>
        <v>0</v>
      </c>
      <c r="R22" s="42"/>
      <c r="S22" s="44" t="e">
        <f>O22/Q22</f>
        <v>#DIV/0!</v>
      </c>
    </row>
    <row r="23" spans="1:19" x14ac:dyDescent="0.2">
      <c r="A23" s="47"/>
      <c r="B23" t="s">
        <v>133</v>
      </c>
      <c r="C23" s="39">
        <f>数据底稿!N19</f>
        <v>5165.9399999999996</v>
      </c>
      <c r="D23" s="39">
        <f t="shared" si="16"/>
        <v>1549.7819999999999</v>
      </c>
      <c r="E23" s="16">
        <f t="shared" si="2"/>
        <v>1473.844221961589</v>
      </c>
      <c r="F23" s="16">
        <f t="shared" si="3"/>
        <v>48.913116585822486</v>
      </c>
      <c r="G23" s="16">
        <f t="shared" si="4"/>
        <v>0.27675422859318088</v>
      </c>
      <c r="H23" s="16">
        <f t="shared" si="5"/>
        <v>2.0940614634793286E-3</v>
      </c>
      <c r="I23" s="16">
        <f t="shared" si="6"/>
        <v>5.4173082501557421E-6</v>
      </c>
      <c r="J23" s="16">
        <f t="shared" si="7"/>
        <v>22.107663329423836</v>
      </c>
      <c r="K23" s="16">
        <f t="shared" si="8"/>
        <v>1.4673934975746745</v>
      </c>
      <c r="L23" s="16">
        <f t="shared" si="9"/>
        <v>8.3026268577954268E-2</v>
      </c>
      <c r="M23" s="16">
        <f t="shared" si="10"/>
        <v>1.2564368780875971E-3</v>
      </c>
      <c r="N23" s="16">
        <f t="shared" si="11"/>
        <v>5.4173082501557421E-6</v>
      </c>
      <c r="O23" s="16">
        <f t="shared" si="12"/>
        <v>23.659344949762804</v>
      </c>
      <c r="P23" s="39">
        <f t="shared" si="13"/>
        <v>47.318689899525609</v>
      </c>
      <c r="Q23" s="42">
        <f t="shared" si="15"/>
        <v>0</v>
      </c>
      <c r="R23" s="42"/>
      <c r="S23" s="44" t="e">
        <f t="shared" si="14"/>
        <v>#DIV/0!</v>
      </c>
    </row>
    <row r="24" spans="1:19" x14ac:dyDescent="0.2">
      <c r="A24" s="47"/>
      <c r="B24" t="s">
        <v>134</v>
      </c>
      <c r="C24" s="39">
        <f>数据底稿!Q19</f>
        <v>2048.3199999999997</v>
      </c>
      <c r="D24" s="39">
        <f t="shared" si="16"/>
        <v>614.49599999999987</v>
      </c>
      <c r="E24" s="16">
        <f t="shared" si="2"/>
        <v>576.87553881362555</v>
      </c>
      <c r="F24" s="16">
        <f t="shared" si="3"/>
        <v>25.603515143660122</v>
      </c>
      <c r="G24" s="16">
        <f t="shared" si="4"/>
        <v>0.17846462589244541</v>
      </c>
      <c r="H24" s="16">
        <f t="shared" si="5"/>
        <v>1.2026625295049765E-3</v>
      </c>
      <c r="I24" s="16">
        <f t="shared" si="6"/>
        <v>3.7635063612632652E-6</v>
      </c>
      <c r="J24" s="16">
        <f t="shared" si="7"/>
        <v>8.6531330822043824</v>
      </c>
      <c r="K24" s="16">
        <f t="shared" si="8"/>
        <v>0.76810545430980359</v>
      </c>
      <c r="L24" s="16">
        <f t="shared" si="9"/>
        <v>5.3539387767733621E-2</v>
      </c>
      <c r="M24" s="16">
        <f t="shared" si="10"/>
        <v>7.2159751770298588E-4</v>
      </c>
      <c r="N24" s="16">
        <f t="shared" si="11"/>
        <v>3.7635063612632652E-6</v>
      </c>
      <c r="O24" s="16">
        <f t="shared" si="12"/>
        <v>9.4755032853059848</v>
      </c>
      <c r="P24" s="39">
        <f t="shared" si="13"/>
        <v>18.95100657061197</v>
      </c>
      <c r="Q24" s="42">
        <f t="shared" si="15"/>
        <v>0</v>
      </c>
      <c r="R24" s="42"/>
      <c r="S24" s="44" t="e">
        <f t="shared" si="14"/>
        <v>#DIV/0!</v>
      </c>
    </row>
    <row r="25" spans="1:19" x14ac:dyDescent="0.2">
      <c r="A25" s="47"/>
      <c r="B25" t="s">
        <v>135</v>
      </c>
      <c r="C25" s="39">
        <f>数据底稿!W19</f>
        <v>4129.9699999999993</v>
      </c>
      <c r="D25" s="39">
        <f t="shared" si="16"/>
        <v>1238.9909999999998</v>
      </c>
      <c r="E25" s="16">
        <f t="shared" si="2"/>
        <v>1165.903415323271</v>
      </c>
      <c r="F25" s="16">
        <f t="shared" si="3"/>
        <v>48.272618529653052</v>
      </c>
      <c r="G25" s="16">
        <f t="shared" si="4"/>
        <v>0.41663372452411213</v>
      </c>
      <c r="H25" s="16">
        <f t="shared" si="5"/>
        <v>1.3006402553605708E-3</v>
      </c>
      <c r="I25" s="16">
        <f t="shared" si="6"/>
        <v>7.5870905912152938E-6</v>
      </c>
      <c r="J25" s="16">
        <f t="shared" si="7"/>
        <v>17.488551229849065</v>
      </c>
      <c r="K25" s="16">
        <f t="shared" si="8"/>
        <v>1.4481785558895914</v>
      </c>
      <c r="L25" s="16">
        <f t="shared" si="9"/>
        <v>0.12499011735723363</v>
      </c>
      <c r="M25" s="16">
        <f t="shared" si="10"/>
        <v>7.8038415321634246E-4</v>
      </c>
      <c r="N25" s="16">
        <f t="shared" si="11"/>
        <v>7.5870905912152938E-6</v>
      </c>
      <c r="O25" s="16">
        <f t="shared" si="12"/>
        <v>19.062507874339694</v>
      </c>
      <c r="P25" s="39">
        <f t="shared" si="13"/>
        <v>38.125015748679388</v>
      </c>
      <c r="Q25" s="42">
        <f t="shared" si="15"/>
        <v>0</v>
      </c>
      <c r="R25" s="42"/>
      <c r="S25" s="44" t="e">
        <f t="shared" si="14"/>
        <v>#DIV/0!</v>
      </c>
    </row>
    <row r="26" spans="1:19" x14ac:dyDescent="0.2">
      <c r="A26" s="47" t="s">
        <v>151</v>
      </c>
      <c r="B26" t="s">
        <v>136</v>
      </c>
      <c r="C26" s="39">
        <f>数据底稿!B37</f>
        <v>3701.5499999999997</v>
      </c>
      <c r="D26" s="39">
        <f>C26*$B$6</f>
        <v>740.31</v>
      </c>
      <c r="E26" s="16">
        <f t="shared" si="2"/>
        <v>722.87766811063602</v>
      </c>
      <c r="F26" s="16">
        <f t="shared" si="3"/>
        <v>8.4781253281900693</v>
      </c>
      <c r="G26" s="16">
        <f t="shared" si="4"/>
        <v>7.8838158882978765E-2</v>
      </c>
      <c r="H26" s="16">
        <f t="shared" si="5"/>
        <v>4.442684258023388E-5</v>
      </c>
      <c r="I26" s="16">
        <f t="shared" si="6"/>
        <v>8.6921739944319944E-8</v>
      </c>
      <c r="J26" s="16">
        <f t="shared" si="7"/>
        <v>10.843165021659541</v>
      </c>
      <c r="K26" s="16">
        <f t="shared" si="8"/>
        <v>0.25434375984570207</v>
      </c>
      <c r="L26" s="16">
        <f t="shared" si="9"/>
        <v>2.3651447664893629E-2</v>
      </c>
      <c r="M26" s="16">
        <f t="shared" si="10"/>
        <v>2.6656105548140327E-5</v>
      </c>
      <c r="N26" s="16">
        <f t="shared" si="11"/>
        <v>8.6921739944319944E-8</v>
      </c>
      <c r="O26" s="16">
        <f t="shared" si="12"/>
        <v>11.121186972197423</v>
      </c>
      <c r="P26" s="39">
        <f t="shared" si="13"/>
        <v>22.242373944394846</v>
      </c>
      <c r="Q26" s="42">
        <f t="shared" si="15"/>
        <v>0</v>
      </c>
      <c r="R26" s="42"/>
      <c r="S26" s="44" t="e">
        <f t="shared" si="14"/>
        <v>#DIV/0!</v>
      </c>
    </row>
    <row r="27" spans="1:19" x14ac:dyDescent="0.2">
      <c r="A27" s="47"/>
      <c r="B27" t="s">
        <v>137</v>
      </c>
      <c r="C27" s="39">
        <f>数据底稿!F37</f>
        <v>2379.6147000000001</v>
      </c>
      <c r="D27" s="39">
        <f t="shared" ref="D27:D32" si="17">C27*$B$6</f>
        <v>475.92294000000004</v>
      </c>
      <c r="E27" s="16">
        <f t="shared" si="2"/>
        <v>463.12626619659568</v>
      </c>
      <c r="F27" s="16">
        <f t="shared" si="3"/>
        <v>8.4479856796534136</v>
      </c>
      <c r="G27" s="16">
        <f t="shared" si="4"/>
        <v>4.9775943631112401E-2</v>
      </c>
      <c r="H27" s="16">
        <f t="shared" si="5"/>
        <v>1.0194552217228024E-4</v>
      </c>
      <c r="I27" s="16">
        <f t="shared" si="6"/>
        <v>7.2052008376939182E-8</v>
      </c>
      <c r="J27" s="16">
        <f t="shared" si="7"/>
        <v>6.9468939929489348</v>
      </c>
      <c r="K27" s="16">
        <f t="shared" si="8"/>
        <v>0.25343957038960241</v>
      </c>
      <c r="L27" s="16">
        <f t="shared" si="9"/>
        <v>1.4932783089333719E-2</v>
      </c>
      <c r="M27" s="16">
        <f t="shared" si="10"/>
        <v>6.1167313303368145E-5</v>
      </c>
      <c r="N27" s="16">
        <f t="shared" si="11"/>
        <v>7.2052008376939182E-8</v>
      </c>
      <c r="O27" s="16">
        <f t="shared" si="12"/>
        <v>7.2153275857931831</v>
      </c>
      <c r="P27" s="39">
        <f t="shared" si="13"/>
        <v>14.430655171586366</v>
      </c>
      <c r="Q27" s="42">
        <f t="shared" si="15"/>
        <v>0</v>
      </c>
      <c r="R27" s="42"/>
      <c r="S27" s="44" t="e">
        <f t="shared" si="14"/>
        <v>#DIV/0!</v>
      </c>
    </row>
    <row r="28" spans="1:19" x14ac:dyDescent="0.2">
      <c r="A28" s="47"/>
      <c r="B28" t="s">
        <v>138</v>
      </c>
      <c r="C28" s="39">
        <f>数据底稿!I37</f>
        <v>1.2</v>
      </c>
      <c r="D28" s="39">
        <f t="shared" si="17"/>
        <v>0.24</v>
      </c>
      <c r="E28" s="16">
        <f t="shared" si="2"/>
        <v>0.23596919587595644</v>
      </c>
      <c r="F28" s="16">
        <f t="shared" si="3"/>
        <v>1.8219168109086124E-3</v>
      </c>
      <c r="G28" s="16">
        <f t="shared" si="4"/>
        <v>9.8958149039622732E-6</v>
      </c>
      <c r="H28" s="16">
        <f t="shared" si="5"/>
        <v>2.9785077960494787E-8</v>
      </c>
      <c r="I28" s="16">
        <f t="shared" si="6"/>
        <v>1.884252624790698E-11</v>
      </c>
      <c r="J28" s="16">
        <f t="shared" si="7"/>
        <v>3.5395379381393463E-3</v>
      </c>
      <c r="K28" s="16">
        <f t="shared" si="8"/>
        <v>5.4657504327258369E-5</v>
      </c>
      <c r="L28" s="16">
        <f t="shared" si="9"/>
        <v>2.9687444711886818E-6</v>
      </c>
      <c r="M28" s="16">
        <f t="shared" si="10"/>
        <v>1.7871046776296872E-8</v>
      </c>
      <c r="N28" s="16">
        <f t="shared" si="11"/>
        <v>1.884252624790698E-11</v>
      </c>
      <c r="O28" s="16">
        <f t="shared" si="12"/>
        <v>3.5971820768270955E-3</v>
      </c>
      <c r="P28" s="39">
        <f t="shared" si="13"/>
        <v>7.1943641536541909E-3</v>
      </c>
      <c r="Q28" s="42">
        <f t="shared" si="15"/>
        <v>0</v>
      </c>
      <c r="R28" s="42"/>
      <c r="S28" s="44" t="e">
        <f t="shared" si="14"/>
        <v>#DIV/0!</v>
      </c>
    </row>
    <row r="29" spans="1:19" x14ac:dyDescent="0.2">
      <c r="A29" s="47"/>
      <c r="B29" t="s">
        <v>96</v>
      </c>
      <c r="C29" s="39">
        <f>数据底稿!U37</f>
        <v>1449.6943999999999</v>
      </c>
      <c r="D29" s="39">
        <f t="shared" si="17"/>
        <v>289.93887999999998</v>
      </c>
      <c r="E29" s="16">
        <f t="shared" si="2"/>
        <v>280.41546185959203</v>
      </c>
      <c r="F29" s="16">
        <f t="shared" si="3"/>
        <v>5.9521557934116567</v>
      </c>
      <c r="G29" s="16">
        <f t="shared" si="4"/>
        <v>2.2721225844242191E-2</v>
      </c>
      <c r="H29" s="16">
        <f t="shared" si="5"/>
        <v>1.324639847597479E-4</v>
      </c>
      <c r="I29" s="16">
        <f t="shared" si="6"/>
        <v>2.6132690296092877E-7</v>
      </c>
      <c r="J29" s="16">
        <f t="shared" si="7"/>
        <v>4.2062319278938807</v>
      </c>
      <c r="K29" s="16">
        <f t="shared" si="8"/>
        <v>0.17856467380234969</v>
      </c>
      <c r="L29" s="16">
        <f t="shared" si="9"/>
        <v>6.8163677532726572E-3</v>
      </c>
      <c r="M29" s="16">
        <f t="shared" si="10"/>
        <v>7.9478390855848745E-5</v>
      </c>
      <c r="N29" s="16">
        <f t="shared" si="11"/>
        <v>2.6132690296092877E-7</v>
      </c>
      <c r="O29" s="16">
        <f t="shared" si="12"/>
        <v>4.3916927091672626</v>
      </c>
      <c r="P29" s="39">
        <f t="shared" si="13"/>
        <v>8.7833854183345252</v>
      </c>
      <c r="Q29" s="42">
        <f t="shared" si="15"/>
        <v>0</v>
      </c>
      <c r="R29" s="42"/>
      <c r="S29" s="44" t="e">
        <f t="shared" si="14"/>
        <v>#DIV/0!</v>
      </c>
    </row>
    <row r="30" spans="1:19" x14ac:dyDescent="0.2">
      <c r="A30" s="47"/>
      <c r="B30" t="s">
        <v>88</v>
      </c>
      <c r="C30" s="39">
        <f>数据底稿!O37</f>
        <v>763.49552000000006</v>
      </c>
      <c r="D30" s="39">
        <f t="shared" si="17"/>
        <v>152.69910400000001</v>
      </c>
      <c r="E30" s="16">
        <f t="shared" si="2"/>
        <v>144.90026932641356</v>
      </c>
      <c r="F30" s="16">
        <f t="shared" si="3"/>
        <v>5.2842275104815801</v>
      </c>
      <c r="G30" s="16">
        <f t="shared" si="4"/>
        <v>3.6155459424567563E-2</v>
      </c>
      <c r="H30" s="16">
        <f t="shared" si="5"/>
        <v>1.6210610771591854E-4</v>
      </c>
      <c r="I30" s="16">
        <f t="shared" si="6"/>
        <v>5.3162113321043435E-7</v>
      </c>
      <c r="J30" s="16">
        <f t="shared" si="7"/>
        <v>2.1735040398962036</v>
      </c>
      <c r="K30" s="16">
        <f t="shared" si="8"/>
        <v>0.15852682531444739</v>
      </c>
      <c r="L30" s="16">
        <f t="shared" si="9"/>
        <v>1.0846637827370269E-2</v>
      </c>
      <c r="M30" s="16">
        <f t="shared" si="10"/>
        <v>9.7263664629551122E-5</v>
      </c>
      <c r="N30" s="16">
        <f t="shared" si="11"/>
        <v>5.3162113321043435E-7</v>
      </c>
      <c r="O30" s="16">
        <f t="shared" si="12"/>
        <v>2.3429752983237844</v>
      </c>
      <c r="P30" s="39">
        <f t="shared" si="13"/>
        <v>4.6859505966475687</v>
      </c>
      <c r="Q30" s="42">
        <f t="shared" si="15"/>
        <v>0</v>
      </c>
      <c r="R30" s="42"/>
      <c r="S30" s="44" t="e">
        <f t="shared" si="14"/>
        <v>#DIV/0!</v>
      </c>
    </row>
    <row r="31" spans="1:19" x14ac:dyDescent="0.2">
      <c r="A31" s="47"/>
      <c r="B31" t="s">
        <v>89</v>
      </c>
      <c r="C31" s="39">
        <f>数据底稿!R37</f>
        <v>711.88409999999999</v>
      </c>
      <c r="D31" s="39">
        <f t="shared" si="17"/>
        <v>142.37682000000001</v>
      </c>
      <c r="E31" s="16">
        <f t="shared" si="2"/>
        <v>134.93610158211033</v>
      </c>
      <c r="F31" s="16">
        <f t="shared" si="3"/>
        <v>4.8774555078828152</v>
      </c>
      <c r="G31" s="16">
        <f t="shared" si="4"/>
        <v>3.5768745092366758E-2</v>
      </c>
      <c r="H31" s="16">
        <f t="shared" si="5"/>
        <v>5.1077214859867595E-5</v>
      </c>
      <c r="I31" s="16">
        <f t="shared" si="6"/>
        <v>3.7556386603899497E-7</v>
      </c>
      <c r="J31" s="16">
        <f t="shared" si="7"/>
        <v>2.0240415237316549</v>
      </c>
      <c r="K31" s="16">
        <f t="shared" si="8"/>
        <v>0.14632366523648446</v>
      </c>
      <c r="L31" s="16">
        <f t="shared" si="9"/>
        <v>1.0730623527710027E-2</v>
      </c>
      <c r="M31" s="16">
        <f t="shared" si="10"/>
        <v>3.0646328915920553E-5</v>
      </c>
      <c r="N31" s="16">
        <f t="shared" si="11"/>
        <v>3.7556386603899497E-7</v>
      </c>
      <c r="O31" s="16">
        <f t="shared" si="12"/>
        <v>2.1811268343886314</v>
      </c>
      <c r="P31" s="39">
        <f t="shared" si="13"/>
        <v>4.3622536687772628</v>
      </c>
      <c r="Q31" s="42">
        <f t="shared" si="15"/>
        <v>0</v>
      </c>
      <c r="R31" s="42"/>
      <c r="S31" s="44" t="e">
        <f t="shared" si="14"/>
        <v>#DIV/0!</v>
      </c>
    </row>
    <row r="32" spans="1:19" x14ac:dyDescent="0.2">
      <c r="A32" s="47"/>
      <c r="B32" t="s">
        <v>139</v>
      </c>
      <c r="C32" s="39">
        <f>数据底稿!L37</f>
        <v>0</v>
      </c>
      <c r="D32" s="39">
        <f t="shared" si="17"/>
        <v>0</v>
      </c>
      <c r="E32" s="16">
        <f t="shared" si="2"/>
        <v>0</v>
      </c>
      <c r="F32" s="16">
        <f t="shared" si="3"/>
        <v>0</v>
      </c>
      <c r="G32" s="16">
        <f t="shared" si="4"/>
        <v>0</v>
      </c>
      <c r="H32" s="16">
        <f t="shared" si="5"/>
        <v>0</v>
      </c>
      <c r="I32" s="16">
        <f t="shared" si="6"/>
        <v>0</v>
      </c>
      <c r="J32" s="16">
        <f t="shared" si="7"/>
        <v>0</v>
      </c>
      <c r="K32" s="16">
        <f t="shared" si="8"/>
        <v>0</v>
      </c>
      <c r="L32" s="16">
        <f t="shared" si="9"/>
        <v>0</v>
      </c>
      <c r="M32" s="16">
        <f t="shared" si="10"/>
        <v>0</v>
      </c>
      <c r="N32" s="16">
        <f t="shared" si="11"/>
        <v>0</v>
      </c>
      <c r="O32" s="16">
        <f t="shared" si="12"/>
        <v>0</v>
      </c>
      <c r="P32" s="39">
        <f t="shared" si="13"/>
        <v>0</v>
      </c>
      <c r="Q32" s="42">
        <f t="shared" si="15"/>
        <v>0</v>
      </c>
      <c r="R32" s="42"/>
      <c r="S32" s="44" t="e">
        <f t="shared" si="14"/>
        <v>#DIV/0!</v>
      </c>
    </row>
    <row r="33" spans="1:21" x14ac:dyDescent="0.2">
      <c r="A33" s="47" t="s">
        <v>153</v>
      </c>
      <c r="B33" t="s">
        <v>106</v>
      </c>
      <c r="C33" s="39">
        <f>数据底稿!F56</f>
        <v>78.983999999999995</v>
      </c>
      <c r="D33" s="39">
        <f>C33*$B$7</f>
        <v>15.796799999999999</v>
      </c>
      <c r="E33" s="16">
        <f t="shared" si="2"/>
        <v>15.35210382250157</v>
      </c>
      <c r="F33" s="16">
        <f t="shared" si="3"/>
        <v>0.23040864695638982</v>
      </c>
      <c r="G33" s="16">
        <f t="shared" si="4"/>
        <v>2.5176959006617413E-3</v>
      </c>
      <c r="H33" s="16">
        <f t="shared" si="5"/>
        <v>5.1751422320314975E-6</v>
      </c>
      <c r="I33" s="16">
        <f t="shared" si="6"/>
        <v>8.2882024525024084E-10</v>
      </c>
      <c r="J33" s="16">
        <f t="shared" si="7"/>
        <v>0.23028155733752353</v>
      </c>
      <c r="K33" s="16">
        <f t="shared" si="8"/>
        <v>6.9122594086916947E-3</v>
      </c>
      <c r="L33" s="16">
        <f t="shared" si="9"/>
        <v>7.5530877019852236E-4</v>
      </c>
      <c r="M33" s="16">
        <f t="shared" si="10"/>
        <v>3.1050853392188983E-6</v>
      </c>
      <c r="N33" s="16">
        <f t="shared" si="11"/>
        <v>8.2882024525024084E-10</v>
      </c>
      <c r="O33" s="16">
        <f t="shared" si="12"/>
        <v>0.2379522314305732</v>
      </c>
      <c r="P33" s="39">
        <f t="shared" si="13"/>
        <v>0.4759044628611464</v>
      </c>
      <c r="Q33" s="42">
        <f t="shared" si="15"/>
        <v>0</v>
      </c>
      <c r="R33" s="42"/>
      <c r="S33" s="44" t="e">
        <f t="shared" si="14"/>
        <v>#DIV/0!</v>
      </c>
    </row>
    <row r="34" spans="1:21" x14ac:dyDescent="0.2">
      <c r="A34" s="47"/>
      <c r="B34" t="s">
        <v>110</v>
      </c>
      <c r="C34" s="39">
        <f>数据底稿!I56</f>
        <v>142.75730999999999</v>
      </c>
      <c r="D34" s="39">
        <f t="shared" ref="D34:D37" si="18">C34*$B$7</f>
        <v>28.551462000000001</v>
      </c>
      <c r="E34" s="16">
        <f t="shared" si="2"/>
        <v>27.286579192881241</v>
      </c>
      <c r="F34" s="16">
        <f t="shared" si="3"/>
        <v>0.85619170170738312</v>
      </c>
      <c r="G34" s="16">
        <f t="shared" si="4"/>
        <v>1.0767836303052843E-2</v>
      </c>
      <c r="H34" s="16">
        <f t="shared" si="5"/>
        <v>2.9202797231478814E-6</v>
      </c>
      <c r="I34" s="16">
        <f t="shared" si="6"/>
        <v>2.2329452029884165E-10</v>
      </c>
      <c r="J34" s="16">
        <f t="shared" si="7"/>
        <v>0.4092986878932186</v>
      </c>
      <c r="K34" s="16">
        <f t="shared" si="8"/>
        <v>2.5685751051221492E-2</v>
      </c>
      <c r="L34" s="16">
        <f t="shared" si="9"/>
        <v>3.2303508909158527E-3</v>
      </c>
      <c r="M34" s="16">
        <f t="shared" si="10"/>
        <v>1.7521678338887288E-6</v>
      </c>
      <c r="N34" s="16">
        <f t="shared" si="11"/>
        <v>2.2329452029884165E-10</v>
      </c>
      <c r="O34" s="16">
        <f t="shared" si="12"/>
        <v>0.43821654222648432</v>
      </c>
      <c r="P34" s="39">
        <f t="shared" si="13"/>
        <v>0.87643308445296864</v>
      </c>
      <c r="Q34" s="42">
        <f t="shared" si="15"/>
        <v>0</v>
      </c>
      <c r="R34" s="42"/>
      <c r="S34" s="44" t="e">
        <f t="shared" si="14"/>
        <v>#DIV/0!</v>
      </c>
    </row>
    <row r="35" spans="1:21" x14ac:dyDescent="0.2">
      <c r="A35" s="47"/>
      <c r="B35" t="s">
        <v>102</v>
      </c>
      <c r="C35" s="39"/>
      <c r="D35" s="39">
        <f t="shared" si="18"/>
        <v>0</v>
      </c>
      <c r="E35" s="16">
        <f t="shared" si="2"/>
        <v>0</v>
      </c>
      <c r="F35" s="16">
        <f t="shared" si="3"/>
        <v>0</v>
      </c>
      <c r="G35" s="16">
        <f t="shared" si="4"/>
        <v>0</v>
      </c>
      <c r="H35" s="16">
        <f t="shared" si="5"/>
        <v>0</v>
      </c>
      <c r="I35" s="16">
        <f t="shared" si="6"/>
        <v>0</v>
      </c>
      <c r="J35" s="16">
        <f t="shared" si="7"/>
        <v>0</v>
      </c>
      <c r="K35" s="16">
        <f t="shared" si="8"/>
        <v>0</v>
      </c>
      <c r="L35" s="16">
        <f t="shared" si="9"/>
        <v>0</v>
      </c>
      <c r="M35" s="16">
        <f t="shared" si="10"/>
        <v>0</v>
      </c>
      <c r="N35" s="16">
        <f t="shared" si="11"/>
        <v>0</v>
      </c>
      <c r="O35" s="16">
        <f t="shared" si="12"/>
        <v>0</v>
      </c>
      <c r="P35" s="39">
        <f t="shared" si="13"/>
        <v>0</v>
      </c>
      <c r="Q35" s="42">
        <f t="shared" si="15"/>
        <v>0</v>
      </c>
      <c r="R35" s="42"/>
      <c r="S35" s="44" t="e">
        <f t="shared" si="14"/>
        <v>#DIV/0!</v>
      </c>
    </row>
    <row r="36" spans="1:21" x14ac:dyDescent="0.2">
      <c r="A36" s="47"/>
      <c r="B36" t="s">
        <v>115</v>
      </c>
      <c r="C36" s="39">
        <f>数据底稿!M56</f>
        <v>0</v>
      </c>
      <c r="D36" s="39">
        <f t="shared" si="18"/>
        <v>0</v>
      </c>
      <c r="E36" s="16">
        <f t="shared" si="2"/>
        <v>0</v>
      </c>
      <c r="F36" s="16">
        <f t="shared" si="3"/>
        <v>0</v>
      </c>
      <c r="G36" s="16">
        <f t="shared" si="4"/>
        <v>0</v>
      </c>
      <c r="H36" s="16">
        <f t="shared" si="5"/>
        <v>0</v>
      </c>
      <c r="I36" s="16">
        <f t="shared" si="6"/>
        <v>0</v>
      </c>
      <c r="J36" s="16">
        <f t="shared" si="7"/>
        <v>0</v>
      </c>
      <c r="K36" s="16">
        <f t="shared" si="8"/>
        <v>0</v>
      </c>
      <c r="L36" s="16">
        <f t="shared" si="9"/>
        <v>0</v>
      </c>
      <c r="M36" s="16">
        <f t="shared" si="10"/>
        <v>0</v>
      </c>
      <c r="N36" s="16">
        <f t="shared" si="11"/>
        <v>0</v>
      </c>
      <c r="O36" s="16">
        <f t="shared" si="12"/>
        <v>0</v>
      </c>
      <c r="P36" s="39">
        <f t="shared" si="13"/>
        <v>0</v>
      </c>
      <c r="Q36" s="42">
        <f t="shared" si="15"/>
        <v>0</v>
      </c>
      <c r="R36" s="42"/>
      <c r="S36" s="44" t="e">
        <f t="shared" si="14"/>
        <v>#DIV/0!</v>
      </c>
    </row>
    <row r="37" spans="1:21" x14ac:dyDescent="0.2">
      <c r="A37" s="47"/>
      <c r="B37" t="s">
        <v>116</v>
      </c>
      <c r="C37" s="39">
        <f>数据底稿!P56</f>
        <v>63.418611708699999</v>
      </c>
      <c r="D37" s="39">
        <f t="shared" si="18"/>
        <v>12.683722341740001</v>
      </c>
      <c r="E37" s="16">
        <f t="shared" si="2"/>
        <v>11.561241466883564</v>
      </c>
      <c r="F37" s="16">
        <f t="shared" si="3"/>
        <v>0.79548538408054648</v>
      </c>
      <c r="G37" s="16">
        <f t="shared" si="4"/>
        <v>1.1563626142472401E-2</v>
      </c>
      <c r="H37" s="16">
        <f t="shared" si="5"/>
        <v>5.1560770283698155E-5</v>
      </c>
      <c r="I37" s="16">
        <f t="shared" si="6"/>
        <v>3.5890506249651859E-8</v>
      </c>
      <c r="J37" s="16">
        <f t="shared" si="7"/>
        <v>0.17341862200325345</v>
      </c>
      <c r="K37" s="16">
        <f t="shared" si="8"/>
        <v>2.3864561522416394E-2</v>
      </c>
      <c r="L37" s="16">
        <f t="shared" si="9"/>
        <v>3.4690878427417202E-3</v>
      </c>
      <c r="M37" s="16">
        <f t="shared" si="10"/>
        <v>3.0936462170218894E-5</v>
      </c>
      <c r="N37" s="16">
        <f t="shared" si="11"/>
        <v>3.5890506249651859E-8</v>
      </c>
      <c r="O37" s="16">
        <f t="shared" si="12"/>
        <v>0.20078324372108805</v>
      </c>
      <c r="P37" s="39">
        <f t="shared" si="13"/>
        <v>0.4015664874421761</v>
      </c>
      <c r="Q37" s="42">
        <f t="shared" si="15"/>
        <v>0</v>
      </c>
      <c r="R37" s="42"/>
      <c r="S37" s="44" t="e">
        <f t="shared" si="14"/>
        <v>#DIV/0!</v>
      </c>
    </row>
    <row r="42" spans="1:21" x14ac:dyDescent="0.2">
      <c r="A42" s="46" t="s">
        <v>174</v>
      </c>
    </row>
    <row r="43" spans="1:21" x14ac:dyDescent="0.2">
      <c r="A43" s="41">
        <v>42916</v>
      </c>
      <c r="B43" t="s">
        <v>164</v>
      </c>
      <c r="I43" t="s">
        <v>166</v>
      </c>
      <c r="S43" s="40"/>
    </row>
    <row r="44" spans="1:21" x14ac:dyDescent="0.2">
      <c r="A44" t="s">
        <v>155</v>
      </c>
      <c r="C44" t="s">
        <v>163</v>
      </c>
      <c r="D44" t="s">
        <v>159</v>
      </c>
      <c r="E44" t="s">
        <v>160</v>
      </c>
      <c r="F44" t="s">
        <v>161</v>
      </c>
      <c r="G44" t="s">
        <v>162</v>
      </c>
      <c r="H44" t="s">
        <v>165</v>
      </c>
      <c r="I44" t="s">
        <v>163</v>
      </c>
      <c r="J44" t="s">
        <v>159</v>
      </c>
      <c r="K44" t="s">
        <v>160</v>
      </c>
      <c r="L44" t="s">
        <v>161</v>
      </c>
      <c r="M44" t="s">
        <v>162</v>
      </c>
      <c r="O44" t="s">
        <v>172</v>
      </c>
      <c r="P44" t="s">
        <v>176</v>
      </c>
      <c r="U44" s="42"/>
    </row>
    <row r="45" spans="1:21" x14ac:dyDescent="0.2">
      <c r="A45" t="str">
        <f>[1]!to_tradecode(B45)</f>
        <v>601398</v>
      </c>
      <c r="B45" t="s">
        <v>123</v>
      </c>
      <c r="C45" s="43">
        <f>[1]!s_stmnote_bank(A45,"31",$A$43,100000000)</f>
        <v>131076.89000000001</v>
      </c>
      <c r="D45" s="43">
        <f>[1]!s_stmnote_bank(A45,"34",$A$43,100000000)</f>
        <v>5411.48</v>
      </c>
      <c r="E45" s="43">
        <f>[1]!s_stmnote_bank(A45,"37",$A$43,100000000)</f>
        <v>1048.5</v>
      </c>
      <c r="F45" s="43">
        <f>[1]!s_stmnote_bank(A45,"40",$A$43,100000000)</f>
        <v>928.74</v>
      </c>
      <c r="G45" s="43">
        <f>[1]!s_stmnote_bank(A45,"43",$A$43,100000000)</f>
        <v>193.48</v>
      </c>
      <c r="H45" s="43">
        <f>[1]!s_stmnote_bank_1n(A45,$A$43,1,100000000)</f>
        <v>138659.09</v>
      </c>
      <c r="I45" s="45">
        <f>C45/$H45</f>
        <v>0.94531768526679372</v>
      </c>
      <c r="J45" s="45">
        <f t="shared" ref="J45:M45" si="19">D45/$H45</f>
        <v>3.9027228579100008E-2</v>
      </c>
      <c r="K45" s="45">
        <f t="shared" si="19"/>
        <v>7.5617112444629486E-3</v>
      </c>
      <c r="L45" s="45">
        <f t="shared" si="19"/>
        <v>6.6980102061826603E-3</v>
      </c>
      <c r="M45" s="45">
        <f t="shared" si="19"/>
        <v>1.3953647034608404E-3</v>
      </c>
      <c r="N45" s="40">
        <f>SUM(I45:M45)</f>
        <v>1.0000000000000002</v>
      </c>
      <c r="O45" s="42"/>
    </row>
    <row r="46" spans="1:21" x14ac:dyDescent="0.2">
      <c r="A46" t="str">
        <f>[1]!to_tradecode(B46)</f>
        <v>601939</v>
      </c>
      <c r="B46" t="s">
        <v>124</v>
      </c>
      <c r="C46" s="43">
        <f>[1]!s_stmnote_bank(A46,"31",$A$43,100000000)</f>
        <v>119629.13</v>
      </c>
      <c r="D46" s="43">
        <f>[1]!s_stmnote_bank(A46,"34",$A$43,100000000)</f>
        <v>3553.56</v>
      </c>
      <c r="E46" s="43">
        <f>[1]!s_stmnote_bank(A46,"37",$A$43,100000000)</f>
        <v>780.07</v>
      </c>
      <c r="F46" s="43">
        <f>[1]!s_stmnote_bank(A46,"40",$A$43,100000000)</f>
        <v>900.44</v>
      </c>
      <c r="G46" s="43">
        <f>[1]!s_stmnote_bank(A46,"43",$A$43,100000000)</f>
        <v>207.01</v>
      </c>
      <c r="H46" s="43">
        <f>[1]!s_stmnote_bank_1n(A46,$A$43,1,100000000)</f>
        <v>125070.21</v>
      </c>
      <c r="I46" s="45">
        <f t="shared" ref="I46:I69" si="20">C46/$H46</f>
        <v>0.95649579544161634</v>
      </c>
      <c r="J46" s="45">
        <f t="shared" ref="J46:J69" si="21">D46/$H46</f>
        <v>2.8412521255061454E-2</v>
      </c>
      <c r="K46" s="45">
        <f t="shared" ref="K46:K69" si="22">E46/$H46</f>
        <v>6.2370567699534529E-3</v>
      </c>
      <c r="L46" s="45">
        <f t="shared" ref="L46:L69" si="23">F46/$H46</f>
        <v>7.1994761982089898E-3</v>
      </c>
      <c r="M46" s="45">
        <f t="shared" ref="M46:M69" si="24">G46/$H46</f>
        <v>1.6551503351597474E-3</v>
      </c>
      <c r="N46" s="40">
        <f t="shared" ref="N46:N69" si="25">SUM(I46:M46)</f>
        <v>1</v>
      </c>
      <c r="O46">
        <v>3172.48</v>
      </c>
      <c r="P46" s="42">
        <v>17.059999999999999</v>
      </c>
    </row>
    <row r="47" spans="1:21" x14ac:dyDescent="0.2">
      <c r="A47" t="str">
        <f>[1]!to_tradecode(B47)</f>
        <v>601288</v>
      </c>
      <c r="B47" t="s">
        <v>125</v>
      </c>
      <c r="C47" s="43">
        <f>[1]!s_stmnote_bank(A47,"31",$A$43,100000000)</f>
        <v>98066.33</v>
      </c>
      <c r="D47" s="43">
        <f>[1]!s_stmnote_bank(A47,"34",$A$43,100000000)</f>
        <v>3768.54</v>
      </c>
      <c r="E47" s="43">
        <f>[1]!s_stmnote_bank(A47,"37",$A$43,100000000)</f>
        <v>398.76</v>
      </c>
      <c r="F47" s="43">
        <f>[1]!s_stmnote_bank(A47,"40",$A$43,100000000)</f>
        <v>1649.35</v>
      </c>
      <c r="G47" s="43">
        <f>[1]!s_stmnote_bank(A47,"43",$A$43,100000000)</f>
        <v>236.2</v>
      </c>
      <c r="H47" s="43">
        <f>[1]!s_stmnote_bank_1n(A47,$A$43,1,100000000)</f>
        <v>104119.18</v>
      </c>
      <c r="I47" s="45">
        <f t="shared" si="20"/>
        <v>0.94186613840024491</v>
      </c>
      <c r="J47" s="45">
        <f t="shared" si="21"/>
        <v>3.6194484051833682E-2</v>
      </c>
      <c r="K47" s="45">
        <f t="shared" si="22"/>
        <v>3.8298419176947033E-3</v>
      </c>
      <c r="L47" s="45">
        <f t="shared" si="23"/>
        <v>1.5840981459900087E-2</v>
      </c>
      <c r="M47" s="45">
        <f t="shared" si="24"/>
        <v>2.2685541703267352E-3</v>
      </c>
      <c r="N47" s="40">
        <f t="shared" si="25"/>
        <v>1.0000000000000002</v>
      </c>
      <c r="O47" s="42">
        <v>4347.78</v>
      </c>
      <c r="P47">
        <v>48.9</v>
      </c>
    </row>
    <row r="48" spans="1:21" x14ac:dyDescent="0.2">
      <c r="A48" t="str">
        <f>[1]!to_tradecode(B48)</f>
        <v>601988</v>
      </c>
      <c r="B48" t="s">
        <v>126</v>
      </c>
      <c r="C48" s="43">
        <f>[1]!s_stmnote_bank(A48,"31",$A$43,100000000)</f>
        <v>102086.58</v>
      </c>
      <c r="D48" s="43">
        <f>[1]!s_stmnote_bank(A48,"34",$A$43,100000000)</f>
        <v>2950.2</v>
      </c>
      <c r="E48" s="43">
        <f>[1]!s_stmnote_bank(A48,"37",$A$43,100000000)</f>
        <v>638.73</v>
      </c>
      <c r="F48" s="43">
        <f>[1]!s_stmnote_bank(A48,"40",$A$43,100000000)</f>
        <v>318.69</v>
      </c>
      <c r="G48" s="43">
        <f>[1]!s_stmnote_bank(A48,"43",$A$43,100000000)</f>
        <v>512.83000000000004</v>
      </c>
      <c r="H48" s="43">
        <f>[1]!s_stmnote_bank_1n(A48,$A$43,1,100000000)</f>
        <v>106507.03</v>
      </c>
      <c r="I48" s="45">
        <f t="shared" si="20"/>
        <v>0.95849616687274075</v>
      </c>
      <c r="J48" s="45">
        <f t="shared" si="21"/>
        <v>2.7699580018333062E-2</v>
      </c>
      <c r="K48" s="45">
        <f t="shared" si="22"/>
        <v>5.9970689258727807E-3</v>
      </c>
      <c r="L48" s="45">
        <f t="shared" si="23"/>
        <v>2.9921968531091327E-3</v>
      </c>
      <c r="M48" s="45">
        <f t="shared" si="24"/>
        <v>4.8149873299443242E-3</v>
      </c>
      <c r="N48" s="40">
        <f t="shared" si="25"/>
        <v>1</v>
      </c>
      <c r="O48" s="42"/>
      <c r="P48">
        <v>24.59</v>
      </c>
    </row>
    <row r="49" spans="1:16" x14ac:dyDescent="0.2">
      <c r="A49" t="str">
        <f>[1]!to_tradecode(B49)</f>
        <v>601328</v>
      </c>
      <c r="B49" t="s">
        <v>127</v>
      </c>
      <c r="C49" s="43">
        <f>[1]!s_stmnote_bank(A49,"31",$A$43,100000000)</f>
        <v>41777.620000000003</v>
      </c>
      <c r="D49" s="43">
        <f>[1]!s_stmnote_bank(A49,"34",$A$43,100000000)</f>
        <v>1264.32</v>
      </c>
      <c r="E49" s="43">
        <f>[1]!s_stmnote_bank(A49,"37",$A$43,100000000)</f>
        <v>187.88</v>
      </c>
      <c r="F49" s="43">
        <f>[1]!s_stmnote_bank(A49,"40",$A$43,100000000)</f>
        <v>253.28</v>
      </c>
      <c r="G49" s="43">
        <f>[1]!s_stmnote_bank(A49,"43",$A$43,100000000)</f>
        <v>218.37</v>
      </c>
      <c r="H49" s="43">
        <f>[1]!s_stmnote_bank_1n(A49,$A$43,1,100000000)</f>
        <v>43701.47</v>
      </c>
      <c r="I49" s="45">
        <f t="shared" si="20"/>
        <v>0.95597745339001183</v>
      </c>
      <c r="J49" s="45">
        <f t="shared" si="21"/>
        <v>2.8930834592062919E-2</v>
      </c>
      <c r="K49" s="45">
        <f t="shared" si="22"/>
        <v>4.2991688837926961E-3</v>
      </c>
      <c r="L49" s="45">
        <f t="shared" si="23"/>
        <v>5.795686049004759E-3</v>
      </c>
      <c r="M49" s="45">
        <f t="shared" si="24"/>
        <v>4.9968570851278002E-3</v>
      </c>
      <c r="N49" s="40">
        <f t="shared" si="25"/>
        <v>0.99999999999999989</v>
      </c>
      <c r="O49" s="42"/>
      <c r="P49">
        <v>26.55</v>
      </c>
    </row>
    <row r="50" spans="1:16" x14ac:dyDescent="0.2">
      <c r="A50" t="str">
        <f>[1]!to_tradecode(B50)</f>
        <v>600036</v>
      </c>
      <c r="B50" t="s">
        <v>128</v>
      </c>
      <c r="C50" s="43">
        <f>[1]!s_stmnote_bank(A50,"31",$A$43,100000000)</f>
        <v>34187.4</v>
      </c>
      <c r="D50" s="43">
        <f>[1]!s_stmnote_bank(A50,"34",$A$43,100000000)</f>
        <v>607.39</v>
      </c>
      <c r="E50" s="43">
        <f>[1]!s_stmnote_bank(A50,"37",$A$43,100000000)</f>
        <v>215.44</v>
      </c>
      <c r="F50" s="43">
        <f>[1]!s_stmnote_bank(A50,"40",$A$43,100000000)</f>
        <v>235.31</v>
      </c>
      <c r="G50" s="43">
        <f>[1]!s_stmnote_bank(A50,"43",$A$43,100000000)</f>
        <v>153.84</v>
      </c>
      <c r="H50" s="43">
        <f>[1]!s_stmnote_bank_1n(A50,$A$43,1,100000000)</f>
        <v>35399.379999999997</v>
      </c>
      <c r="I50" s="45">
        <f t="shared" si="20"/>
        <v>0.96576267719943132</v>
      </c>
      <c r="J50" s="45">
        <f t="shared" si="21"/>
        <v>1.7158210115544397E-2</v>
      </c>
      <c r="K50" s="45">
        <f t="shared" si="22"/>
        <v>6.0859822968650865E-3</v>
      </c>
      <c r="L50" s="45">
        <f t="shared" si="23"/>
        <v>6.647291562733585E-3</v>
      </c>
      <c r="M50" s="45">
        <f t="shared" si="24"/>
        <v>4.3458388254257567E-3</v>
      </c>
      <c r="N50" s="40">
        <f t="shared" si="25"/>
        <v>1.0000000000000002</v>
      </c>
      <c r="O50" s="42">
        <v>1452.02</v>
      </c>
      <c r="P50">
        <v>43.06</v>
      </c>
    </row>
    <row r="51" spans="1:16" x14ac:dyDescent="0.2">
      <c r="A51" t="str">
        <f>[1]!to_tradecode(B51)</f>
        <v>601998</v>
      </c>
      <c r="B51" t="s">
        <v>129</v>
      </c>
      <c r="C51" s="43">
        <f>[1]!s_stmnote_bank(A51,"31",$A$43,100000000)</f>
        <v>29689.5</v>
      </c>
      <c r="D51" s="43">
        <f>[1]!s_stmnote_bank(A51,"34",$A$43,100000000)</f>
        <v>710.26</v>
      </c>
      <c r="E51" s="43">
        <f>[1]!s_stmnote_bank(A51,"37",$A$43,100000000)</f>
        <v>283.48</v>
      </c>
      <c r="F51" s="43">
        <f>[1]!s_stmnote_bank(A51,"40",$A$43,100000000)</f>
        <v>183.14</v>
      </c>
      <c r="G51" s="43">
        <f>[1]!s_stmnote_bank(A51,"43",$A$43,100000000)</f>
        <v>44.57</v>
      </c>
      <c r="H51" s="43">
        <f>[1]!s_stmnote_bank_1n(A51,$A$43,1,100000000)</f>
        <v>30910.95</v>
      </c>
      <c r="I51" s="45">
        <f t="shared" si="20"/>
        <v>0.9604848767184444</v>
      </c>
      <c r="J51" s="45">
        <f t="shared" si="21"/>
        <v>2.2977617963860702E-2</v>
      </c>
      <c r="K51" s="45">
        <f t="shared" si="22"/>
        <v>9.1708601644401103E-3</v>
      </c>
      <c r="L51" s="45">
        <f t="shared" si="23"/>
        <v>5.9247612900929928E-3</v>
      </c>
      <c r="M51" s="45">
        <f t="shared" si="24"/>
        <v>1.4418838631617599E-3</v>
      </c>
      <c r="N51" s="40">
        <f t="shared" si="25"/>
        <v>1</v>
      </c>
      <c r="O51" s="42">
        <v>873.12</v>
      </c>
      <c r="P51">
        <v>25.36</v>
      </c>
    </row>
    <row r="52" spans="1:16" x14ac:dyDescent="0.2">
      <c r="A52" t="str">
        <f>[1]!to_tradecode(B52)</f>
        <v>600000</v>
      </c>
      <c r="B52" t="s">
        <v>130</v>
      </c>
      <c r="C52" s="43">
        <f>[1]!s_stmnote_bank(A52,"31",$A$43,100000000)</f>
        <v>28482.22</v>
      </c>
      <c r="D52" s="43">
        <f>[1]!s_stmnote_bank(A52,"34",$A$43,100000000)</f>
        <v>1158.67</v>
      </c>
      <c r="E52" s="43">
        <f>[1]!s_stmnote_bank(A52,"37",$A$43,100000000)</f>
        <v>272.98</v>
      </c>
      <c r="F52" s="43">
        <f>[1]!s_stmnote_bank(A52,"40",$A$43,100000000)</f>
        <v>223.38</v>
      </c>
      <c r="G52" s="43">
        <f>[1]!s_stmnote_bank(A52,"43",$A$43,100000000)</f>
        <v>137.61000000000001</v>
      </c>
      <c r="H52" s="43">
        <f>[1]!s_stmnote_bank_1n(A52,$A$43,1,100000000)</f>
        <v>30274.86</v>
      </c>
      <c r="I52" s="45">
        <f t="shared" si="20"/>
        <v>0.94078783518734688</v>
      </c>
      <c r="J52" s="45">
        <f t="shared" si="21"/>
        <v>3.8271688126716358E-2</v>
      </c>
      <c r="K52" s="45">
        <f t="shared" si="22"/>
        <v>9.0167221252220493E-3</v>
      </c>
      <c r="L52" s="45">
        <f t="shared" si="23"/>
        <v>7.3783991073782008E-3</v>
      </c>
      <c r="M52" s="45">
        <f t="shared" si="24"/>
        <v>4.5453554533365307E-3</v>
      </c>
      <c r="N52" s="40">
        <f t="shared" si="25"/>
        <v>1</v>
      </c>
      <c r="O52" s="43">
        <v>1084</v>
      </c>
      <c r="P52">
        <v>65.2</v>
      </c>
    </row>
    <row r="53" spans="1:16" x14ac:dyDescent="0.2">
      <c r="A53" t="str">
        <f>[1]!to_tradecode(B53)</f>
        <v>600016</v>
      </c>
      <c r="B53" t="s">
        <v>131</v>
      </c>
      <c r="C53" s="43">
        <f>[1]!s_stmnote_bank(A53,"31",$A$43,100000000)</f>
        <v>25611.1</v>
      </c>
      <c r="D53" s="43">
        <f>[1]!s_stmnote_bank(A53,"34",$A$43,100000000)</f>
        <v>995.74</v>
      </c>
      <c r="E53" s="43">
        <f>[1]!s_stmnote_bank(A53,"37",$A$43,100000000)</f>
        <v>167.73</v>
      </c>
      <c r="F53" s="43">
        <f>[1]!s_stmnote_bank(A53,"40",$A$43,100000000)</f>
        <v>203.31</v>
      </c>
      <c r="G53" s="43">
        <f>[1]!s_stmnote_bank(A53,"43",$A$43,100000000)</f>
        <v>85.06</v>
      </c>
      <c r="H53" s="43">
        <f>[1]!s_stmnote_bank_1n(A53,$A$43,1,100000000)</f>
        <v>27062.94</v>
      </c>
      <c r="I53" s="45">
        <f t="shared" si="20"/>
        <v>0.94635320478854112</v>
      </c>
      <c r="J53" s="45">
        <f t="shared" si="21"/>
        <v>3.6793489546959796E-2</v>
      </c>
      <c r="K53" s="45">
        <f t="shared" si="22"/>
        <v>6.1977745211717573E-3</v>
      </c>
      <c r="L53" s="45">
        <f t="shared" si="23"/>
        <v>7.5124875567842966E-3</v>
      </c>
      <c r="M53" s="45">
        <f t="shared" si="24"/>
        <v>3.1430435865430735E-3</v>
      </c>
      <c r="N53" s="40">
        <f t="shared" si="25"/>
        <v>1</v>
      </c>
      <c r="O53" s="42"/>
    </row>
    <row r="54" spans="1:16" x14ac:dyDescent="0.2">
      <c r="A54" t="str">
        <f>[1]!to_tradecode(B54)</f>
        <v>601166</v>
      </c>
      <c r="B54" t="s">
        <v>132</v>
      </c>
      <c r="C54" s="43">
        <f>[1]!s_stmnote_bank(A54,"31",$A$43,100000000)</f>
        <v>21825.74</v>
      </c>
      <c r="D54" s="43">
        <f>[1]!s_stmnote_bank(A54,"34",$A$43,100000000)</f>
        <v>654.67999999999995</v>
      </c>
      <c r="E54" s="43">
        <f>[1]!s_stmnote_bank(A54,"37",$A$43,100000000)</f>
        <v>137.94999999999999</v>
      </c>
      <c r="F54" s="43">
        <f>[1]!s_stmnote_bank(A54,"40",$A$43,100000000)</f>
        <v>163.87</v>
      </c>
      <c r="G54" s="43">
        <f>[1]!s_stmnote_bank(A54,"43",$A$43,100000000)</f>
        <v>64.41</v>
      </c>
      <c r="H54" s="43">
        <f>[1]!s_stmnote_bank_1n(A54,$A$43,1,100000000)</f>
        <v>22846.65</v>
      </c>
      <c r="I54" s="45">
        <f t="shared" si="20"/>
        <v>0.95531467414259863</v>
      </c>
      <c r="J54" s="45">
        <f t="shared" si="21"/>
        <v>2.8655404621684137E-2</v>
      </c>
      <c r="K54" s="45">
        <f t="shared" si="22"/>
        <v>6.0380843581006394E-3</v>
      </c>
      <c r="L54" s="45">
        <f t="shared" si="23"/>
        <v>7.1726051740627177E-3</v>
      </c>
      <c r="M54" s="45">
        <f t="shared" si="24"/>
        <v>2.8192317035539123E-3</v>
      </c>
      <c r="N54" s="40">
        <f t="shared" si="25"/>
        <v>1</v>
      </c>
      <c r="O54" s="42"/>
    </row>
    <row r="55" spans="1:16" x14ac:dyDescent="0.2">
      <c r="A55" t="str">
        <f>[1]!to_tradecode(B55)</f>
        <v>601818</v>
      </c>
      <c r="B55" t="s">
        <v>133</v>
      </c>
      <c r="C55" s="43">
        <f>[1]!s_stmnote_bank(A55,"31",$A$43,100000000)</f>
        <v>18681.919999999998</v>
      </c>
      <c r="D55" s="43">
        <f>[1]!s_stmnote_bank(A55,"34",$A$43,100000000)</f>
        <v>651.95000000000005</v>
      </c>
      <c r="E55" s="43">
        <f>[1]!s_stmnote_bank(A55,"37",$A$43,100000000)</f>
        <v>111.15</v>
      </c>
      <c r="F55" s="43">
        <f>[1]!s_stmnote_bank(A55,"40",$A$43,100000000)</f>
        <v>148.63999999999999</v>
      </c>
      <c r="G55" s="43">
        <f>[1]!s_stmnote_bank(A55,"43",$A$43,100000000)</f>
        <v>50.82</v>
      </c>
      <c r="H55" s="43">
        <f>[1]!s_stmnote_bank_1n(A55,$A$43,1,100000000)</f>
        <v>19644.48</v>
      </c>
      <c r="I55" s="45">
        <f t="shared" si="20"/>
        <v>0.95100099366335977</v>
      </c>
      <c r="J55" s="45">
        <f t="shared" si="21"/>
        <v>3.318743993223542E-2</v>
      </c>
      <c r="K55" s="45">
        <f t="shared" si="22"/>
        <v>5.6580779944289698E-3</v>
      </c>
      <c r="L55" s="45">
        <f t="shared" si="23"/>
        <v>7.5665021420775703E-3</v>
      </c>
      <c r="M55" s="45">
        <f t="shared" si="24"/>
        <v>2.5869862678981575E-3</v>
      </c>
      <c r="N55" s="40">
        <f t="shared" si="25"/>
        <v>0.99999999999999978</v>
      </c>
      <c r="O55" s="42"/>
    </row>
    <row r="56" spans="1:16" x14ac:dyDescent="0.2">
      <c r="A56" t="str">
        <f>[1]!to_tradecode(B56)</f>
        <v>600015</v>
      </c>
      <c r="B56" t="s">
        <v>134</v>
      </c>
      <c r="C56" s="43">
        <f>[1]!s_stmnote_bank(A56,"31",$A$43,100000000)</f>
        <v>12293.8</v>
      </c>
      <c r="D56" s="43">
        <f>[1]!s_stmnote_bank(A56,"34",$A$43,100000000)</f>
        <v>581.22</v>
      </c>
      <c r="E56" s="43">
        <f>[1]!s_stmnote_bank(A56,"37",$A$43,100000000)</f>
        <v>91.28</v>
      </c>
      <c r="F56" s="43">
        <f>[1]!s_stmnote_bank(A56,"40",$A$43,100000000)</f>
        <v>88.25</v>
      </c>
      <c r="G56" s="43">
        <f>[1]!s_stmnote_bank(A56,"43",$A$43,100000000)</f>
        <v>40.98</v>
      </c>
      <c r="H56" s="43">
        <f>[1]!s_stmnote_bank_1n(A56,$A$43,1,100000000)</f>
        <v>13095.53</v>
      </c>
      <c r="I56" s="45">
        <f t="shared" si="20"/>
        <v>0.93877834650449421</v>
      </c>
      <c r="J56" s="45">
        <f t="shared" si="21"/>
        <v>4.438308338799575E-2</v>
      </c>
      <c r="K56" s="45">
        <f t="shared" si="22"/>
        <v>6.970317352562286E-3</v>
      </c>
      <c r="L56" s="45">
        <f t="shared" si="23"/>
        <v>6.7389406919765747E-3</v>
      </c>
      <c r="M56" s="45">
        <f t="shared" si="24"/>
        <v>3.1293120629711049E-3</v>
      </c>
      <c r="N56" s="40">
        <f t="shared" si="25"/>
        <v>0.99999999999999989</v>
      </c>
      <c r="O56" s="42"/>
    </row>
    <row r="57" spans="1:16" x14ac:dyDescent="0.2">
      <c r="A57" t="str">
        <f>[1]!to_tradecode(B57)</f>
        <v>000001</v>
      </c>
      <c r="B57" t="s">
        <v>135</v>
      </c>
      <c r="C57" s="43">
        <f>[1]!s_stmnote_bank(A57,"31",$A$43,100000000)</f>
        <v>15002.35</v>
      </c>
      <c r="D57" s="43">
        <f>[1]!s_stmnote_bank(A57,"34",$A$43,100000000)</f>
        <v>660.09</v>
      </c>
      <c r="E57" s="43">
        <f>[1]!s_stmnote_bank(A57,"37",$A$43,100000000)</f>
        <v>137.6</v>
      </c>
      <c r="F57" s="43">
        <f>[1]!s_stmnote_bank(A57,"40",$A$43,100000000)</f>
        <v>49.77</v>
      </c>
      <c r="G57" s="43">
        <f>[1]!s_stmnote_bank(A57,"43",$A$43,100000000)</f>
        <v>93</v>
      </c>
      <c r="H57" s="43">
        <f>[1]!s_stmnote_bank_1n(A57,$A$43,1,100000000)</f>
        <v>15942.81</v>
      </c>
      <c r="I57" s="45">
        <f t="shared" si="20"/>
        <v>0.94101039904508688</v>
      </c>
      <c r="J57" s="45">
        <f t="shared" si="21"/>
        <v>4.1403617053706342E-2</v>
      </c>
      <c r="K57" s="45">
        <f t="shared" si="22"/>
        <v>8.6308498940901885E-3</v>
      </c>
      <c r="L57" s="45">
        <f t="shared" si="23"/>
        <v>3.1217834246284066E-3</v>
      </c>
      <c r="M57" s="45">
        <f t="shared" si="24"/>
        <v>5.8333505824882817E-3</v>
      </c>
      <c r="N57" s="40">
        <f t="shared" si="25"/>
        <v>1.0000000000000002</v>
      </c>
      <c r="O57" s="42"/>
    </row>
    <row r="58" spans="1:16" x14ac:dyDescent="0.2">
      <c r="A58" t="str">
        <f>[1]!to_tradecode(B58)</f>
        <v>601169</v>
      </c>
      <c r="B58" t="s">
        <v>136</v>
      </c>
      <c r="C58" s="43">
        <f>[1]!s_stmnote_bank(A58,"31",$A$43,100000000)</f>
        <v>9805.0815999999995</v>
      </c>
      <c r="D58" s="43">
        <f>[1]!s_stmnote_bank(A58,"34",$A$43,100000000)</f>
        <v>117.7701</v>
      </c>
      <c r="E58" s="43">
        <f>[1]!s_stmnote_bank(A58,"37",$A$43,100000000)</f>
        <v>93.376300000000001</v>
      </c>
      <c r="F58" s="43">
        <f>[1]!s_stmnote_bank(A58,"40",$A$43,100000000)</f>
        <v>5.6585999999999999</v>
      </c>
      <c r="G58" s="43">
        <f>[1]!s_stmnote_bank(A58,"43",$A$43,100000000)</f>
        <v>19.6464</v>
      </c>
      <c r="H58" s="43">
        <v>10041.532999999999</v>
      </c>
      <c r="I58" s="45">
        <f t="shared" si="20"/>
        <v>0.97645265917066648</v>
      </c>
      <c r="J58" s="45">
        <f t="shared" si="21"/>
        <v>1.172829885635988E-2</v>
      </c>
      <c r="K58" s="45">
        <f t="shared" si="22"/>
        <v>9.2990084282947635E-3</v>
      </c>
      <c r="L58" s="45">
        <f t="shared" si="23"/>
        <v>5.6351953431811662E-4</v>
      </c>
      <c r="M58" s="45">
        <f t="shared" si="24"/>
        <v>1.9565140103607686E-3</v>
      </c>
      <c r="N58" s="40">
        <f t="shared" si="25"/>
        <v>1</v>
      </c>
      <c r="O58" s="42"/>
    </row>
    <row r="59" spans="1:16" x14ac:dyDescent="0.2">
      <c r="A59" t="str">
        <f>[1]!to_tradecode(B59)</f>
        <v>601009</v>
      </c>
      <c r="B59" t="s">
        <v>137</v>
      </c>
      <c r="C59" s="43">
        <f>[1]!s_stmnote_bank(A59,"31",$A$43,100000000)</f>
        <v>3586.1287200000002</v>
      </c>
      <c r="D59" s="43">
        <f>[1]!s_stmnote_bank(A59,"34",$A$43,100000000)</f>
        <v>67.222840000000005</v>
      </c>
      <c r="E59" s="43">
        <f>[1]!s_stmnote_bank(A59,"37",$A$43,100000000)</f>
        <v>21.713480000000001</v>
      </c>
      <c r="F59" s="43">
        <f>[1]!s_stmnote_bank(A59,"40",$A$43,100000000)</f>
        <v>7.54765</v>
      </c>
      <c r="G59" s="43">
        <f>[1]!s_stmnote_bank(A59,"43",$A$43,100000000)</f>
        <v>2.6046</v>
      </c>
      <c r="H59" s="43">
        <f>[1]!s_stmnote_bank_1n(A59,$A$43,1,100000000)</f>
        <v>3685.21729</v>
      </c>
      <c r="I59" s="45">
        <f t="shared" si="20"/>
        <v>0.97311187856713877</v>
      </c>
      <c r="J59" s="45">
        <f t="shared" si="21"/>
        <v>1.8241214753445381E-2</v>
      </c>
      <c r="K59" s="45">
        <f t="shared" si="22"/>
        <v>5.8920487698026621E-3</v>
      </c>
      <c r="L59" s="45">
        <f t="shared" si="23"/>
        <v>2.0480881874946374E-3</v>
      </c>
      <c r="M59" s="45">
        <f t="shared" si="24"/>
        <v>7.0676972211861078E-4</v>
      </c>
      <c r="N59" s="40">
        <f t="shared" si="25"/>
        <v>1.0000000000000002</v>
      </c>
      <c r="O59" s="42"/>
    </row>
    <row r="60" spans="1:16" x14ac:dyDescent="0.2">
      <c r="A60" t="str">
        <f>[1]!to_tradecode(B60)</f>
        <v>002142</v>
      </c>
      <c r="B60" t="s">
        <v>138</v>
      </c>
      <c r="C60" s="43">
        <f>[1]!s_stmnote_bank(A60,"31",$A$43,100000000)</f>
        <v>3202.2810100000002</v>
      </c>
      <c r="D60" s="43">
        <f>[1]!s_stmnote_bank(A60,"34",$A$43,100000000)</f>
        <v>25.14714</v>
      </c>
      <c r="E60" s="43">
        <f>[1]!s_stmnote_bank(A60,"37",$A$43,100000000)</f>
        <v>17.690429999999999</v>
      </c>
      <c r="F60" s="43">
        <f>[1]!s_stmnote_bank(A60,"40",$A$43,100000000)</f>
        <v>9.8030799999999996</v>
      </c>
      <c r="G60" s="43">
        <f>[1]!s_stmnote_bank(A60,"43",$A$43,100000000)</f>
        <v>2.0604200000000001</v>
      </c>
      <c r="H60" s="43">
        <f>[1]!s_stmnote_bank_1n(A60,$A$43,1,100000000)</f>
        <v>3256.9820800000002</v>
      </c>
      <c r="I60" s="45">
        <f t="shared" si="20"/>
        <v>0.98320498281648516</v>
      </c>
      <c r="J60" s="45">
        <f t="shared" si="21"/>
        <v>7.7209942770087329E-3</v>
      </c>
      <c r="K60" s="45">
        <f t="shared" si="22"/>
        <v>5.4315404768822059E-3</v>
      </c>
      <c r="L60" s="45">
        <f t="shared" si="23"/>
        <v>3.0098661150754625E-3</v>
      </c>
      <c r="M60" s="45">
        <f t="shared" si="24"/>
        <v>6.3261631454846693E-4</v>
      </c>
      <c r="N60" s="40">
        <f t="shared" si="25"/>
        <v>1</v>
      </c>
      <c r="O60" s="42"/>
    </row>
    <row r="61" spans="1:16" x14ac:dyDescent="0.2">
      <c r="A61" t="str">
        <f>[1]!to_tradecode(B61)</f>
        <v>601229</v>
      </c>
      <c r="B61" t="s">
        <v>96</v>
      </c>
      <c r="C61" s="43">
        <f>[1]!s_stmnote_bank(A61,"31",$A$43,100000000)</f>
        <v>5811.7031699999998</v>
      </c>
      <c r="D61" s="43">
        <f>[1]!s_stmnote_bank(A61,"34",$A$43,100000000)</f>
        <v>127.54994000000001</v>
      </c>
      <c r="E61" s="43">
        <f>[1]!s_stmnote_bank(A61,"37",$A$43,100000000)</f>
        <v>22.93852</v>
      </c>
      <c r="F61" s="43">
        <f>[1]!s_stmnote_bank(A61,"40",$A$43,100000000)</f>
        <v>35.032730000000001</v>
      </c>
      <c r="G61" s="43">
        <f>[1]!s_stmnote_bank(A61,"43",$A$43,100000000)</f>
        <v>11.854799999999999</v>
      </c>
      <c r="H61" s="43">
        <f>[1]!s_stmnote_bank_1n(A61,$A$43,1,100000000)</f>
        <v>6009.0791600000002</v>
      </c>
      <c r="I61" s="45">
        <f t="shared" si="20"/>
        <v>0.96715370446209925</v>
      </c>
      <c r="J61" s="45">
        <f t="shared" si="21"/>
        <v>2.1226203982974323E-2</v>
      </c>
      <c r="K61" s="45">
        <f t="shared" si="22"/>
        <v>3.8173103381117716E-3</v>
      </c>
      <c r="L61" s="45">
        <f t="shared" si="23"/>
        <v>5.8299664669419996E-3</v>
      </c>
      <c r="M61" s="45">
        <f t="shared" si="24"/>
        <v>1.9728147498725909E-3</v>
      </c>
      <c r="N61" s="40">
        <f t="shared" si="25"/>
        <v>0.99999999999999989</v>
      </c>
      <c r="O61" s="42"/>
    </row>
    <row r="62" spans="1:16" x14ac:dyDescent="0.2">
      <c r="A62" t="str">
        <f>[1]!to_tradecode(B62)</f>
        <v>601997</v>
      </c>
      <c r="B62" t="s">
        <v>88</v>
      </c>
      <c r="C62" s="43">
        <f>[1]!s_stmnote_bank(A62,"31",$A$43,100000000)</f>
        <v>1040.7348500000001</v>
      </c>
      <c r="D62" s="43">
        <f>[1]!s_stmnote_bank(A62,"34",$A$43,100000000)</f>
        <v>39.996290000000002</v>
      </c>
      <c r="E62" s="43">
        <f>[1]!s_stmnote_bank(A62,"37",$A$43,100000000)</f>
        <v>7.5041200000000003</v>
      </c>
      <c r="F62" s="43">
        <f>[1]!s_stmnote_bank(A62,"40",$A$43,100000000)</f>
        <v>4.91737</v>
      </c>
      <c r="G62" s="43">
        <f>[1]!s_stmnote_bank(A62,"43",$A$43,100000000)</f>
        <v>3.5967500000000001</v>
      </c>
      <c r="H62" s="43">
        <f>[1]!s_stmnote_bank_1n(A62,$A$43,1,100000000)</f>
        <v>1096.74937</v>
      </c>
      <c r="I62" s="45">
        <f t="shared" si="20"/>
        <v>0.94892678169489175</v>
      </c>
      <c r="J62" s="45">
        <f t="shared" si="21"/>
        <v>3.6468030977761128E-2</v>
      </c>
      <c r="K62" s="45">
        <f t="shared" si="22"/>
        <v>6.8421466246203549E-3</v>
      </c>
      <c r="L62" s="45">
        <f t="shared" si="23"/>
        <v>4.4835858898191116E-3</v>
      </c>
      <c r="M62" s="45">
        <f t="shared" si="24"/>
        <v>3.2794639307611364E-3</v>
      </c>
      <c r="N62" s="40">
        <f t="shared" si="25"/>
        <v>1.0000000091178534</v>
      </c>
      <c r="O62" s="42"/>
    </row>
    <row r="63" spans="1:16" x14ac:dyDescent="0.2">
      <c r="A63" t="str">
        <f>[1]!to_tradecode(B63)</f>
        <v>600926</v>
      </c>
      <c r="B63" t="s">
        <v>89</v>
      </c>
      <c r="C63" s="43">
        <f>[1]!s_stmnote_bank(A63,"31",$A$43,100000000)</f>
        <v>2588.3849100000002</v>
      </c>
      <c r="D63" s="43">
        <f>[1]!s_stmnote_bank(A63,"34",$A$43,100000000)</f>
        <v>98.72</v>
      </c>
      <c r="E63" s="43">
        <f>[1]!s_stmnote_bank(A63,"37",$A$43,100000000)</f>
        <v>20.028590000000001</v>
      </c>
      <c r="F63" s="43">
        <f>[1]!s_stmnote_bank(A63,"40",$A$43,100000000)</f>
        <v>3.8999899999999998</v>
      </c>
      <c r="G63" s="43">
        <f>[1]!s_stmnote_bank(A63,"43",$A$43,100000000)</f>
        <v>20.081520000000001</v>
      </c>
      <c r="H63" s="43">
        <f>[1]!s_stmnote_bank_1n(A63,$A$43,1,100000000)</f>
        <v>2731.11501</v>
      </c>
      <c r="I63" s="45">
        <f t="shared" si="20"/>
        <v>0.94773925686857119</v>
      </c>
      <c r="J63" s="45">
        <f t="shared" si="21"/>
        <v>3.6146408935008562E-2</v>
      </c>
      <c r="K63" s="45">
        <f t="shared" si="22"/>
        <v>7.333484648821143E-3</v>
      </c>
      <c r="L63" s="45">
        <f t="shared" si="23"/>
        <v>1.4279845358837525E-3</v>
      </c>
      <c r="M63" s="45">
        <f t="shared" si="24"/>
        <v>7.3528650117154907E-3</v>
      </c>
      <c r="N63" s="40">
        <f t="shared" si="25"/>
        <v>1</v>
      </c>
      <c r="O63" s="42"/>
    </row>
    <row r="64" spans="1:16" x14ac:dyDescent="0.2">
      <c r="A64" t="str">
        <f>[1]!to_tradecode(B64)</f>
        <v>600919</v>
      </c>
      <c r="B64" t="s">
        <v>139</v>
      </c>
      <c r="C64" s="43">
        <f>[1]!s_stmnote_bank(A64,"31",$A$43,100000000)</f>
        <v>6702.3899099999999</v>
      </c>
      <c r="D64" s="43">
        <f>[1]!s_stmnote_bank(A64,"34",$A$43,100000000)</f>
        <v>207.65314000000001</v>
      </c>
      <c r="E64" s="43">
        <f>[1]!s_stmnote_bank(A64,"37",$A$43,100000000)</f>
        <v>52.106589999999997</v>
      </c>
      <c r="F64" s="43">
        <f>[1]!s_stmnote_bank(A64,"40",$A$43,100000000)</f>
        <v>34.686799999999998</v>
      </c>
      <c r="G64" s="43">
        <f>[1]!s_stmnote_bank(A64,"43",$A$43,100000000)</f>
        <v>13.780010000000001</v>
      </c>
      <c r="H64" s="43">
        <f>[1]!s_stmnote_bank_1n(A64,$A$43,1,100000000)</f>
        <v>7010.6164500000004</v>
      </c>
      <c r="I64" s="45">
        <f t="shared" si="20"/>
        <v>0.95603431706779496</v>
      </c>
      <c r="J64" s="45">
        <f t="shared" si="21"/>
        <v>2.9619811821255747E-2</v>
      </c>
      <c r="K64" s="45">
        <f t="shared" si="22"/>
        <v>7.4325261368420742E-3</v>
      </c>
      <c r="L64" s="45">
        <f t="shared" si="23"/>
        <v>4.9477532036430261E-3</v>
      </c>
      <c r="M64" s="45">
        <f t="shared" si="24"/>
        <v>1.9655917704640654E-3</v>
      </c>
      <c r="N64" s="40">
        <f t="shared" si="25"/>
        <v>0.99999999999999989</v>
      </c>
      <c r="O64" s="42"/>
    </row>
    <row r="65" spans="1:15" x14ac:dyDescent="0.2">
      <c r="A65" t="str">
        <f>[1]!to_tradecode(B65)</f>
        <v>600908</v>
      </c>
      <c r="B65" t="s">
        <v>106</v>
      </c>
      <c r="C65" s="43">
        <f>[1]!s_stmnote_bank(A65,"31",$A$43,100000000)</f>
        <v>618.77553999999998</v>
      </c>
      <c r="D65" s="43">
        <f>[1]!s_stmnote_bank(A65,"34",$A$43,100000000)</f>
        <v>9.5557599999999994</v>
      </c>
      <c r="E65" s="43">
        <f>[1]!s_stmnote_bank(A65,"37",$A$43,100000000)</f>
        <v>6.9572700000000003</v>
      </c>
      <c r="F65" s="43">
        <f>[1]!s_stmnote_bank(A65,"40",$A$43,100000000)</f>
        <v>1.30874</v>
      </c>
      <c r="G65" s="43">
        <f>[1]!s_stmnote_bank(A65,"43",$A$43,100000000)</f>
        <v>0.10197000000000001</v>
      </c>
      <c r="H65" s="43">
        <f>[1]!s_stmnote_bank_1n(A65,$A$43,1,100000000)</f>
        <v>636.69928000000004</v>
      </c>
      <c r="I65" s="45">
        <f t="shared" si="20"/>
        <v>0.971848970835965</v>
      </c>
      <c r="J65" s="45">
        <f t="shared" si="21"/>
        <v>1.5008278319397501E-2</v>
      </c>
      <c r="K65" s="45">
        <f t="shared" si="22"/>
        <v>1.092708947307118E-2</v>
      </c>
      <c r="L65" s="45">
        <f t="shared" si="23"/>
        <v>2.0555072718159819E-3</v>
      </c>
      <c r="M65" s="45">
        <f t="shared" si="24"/>
        <v>1.6015409975019917E-4</v>
      </c>
      <c r="N65" s="40">
        <f t="shared" si="25"/>
        <v>1</v>
      </c>
      <c r="O65" s="42"/>
    </row>
    <row r="66" spans="1:15" x14ac:dyDescent="0.2">
      <c r="A66" t="str">
        <f>[1]!to_tradecode(B66)</f>
        <v>601128</v>
      </c>
      <c r="B66" t="s">
        <v>110</v>
      </c>
      <c r="C66" s="43">
        <f>[1]!s_stmnote_bank(A66,"31",$A$43,100000000)</f>
        <v>685.68228999999997</v>
      </c>
      <c r="D66" s="43">
        <f>[1]!s_stmnote_bank(A66,"34",$A$43,100000000)</f>
        <v>22.512519999999999</v>
      </c>
      <c r="E66" s="43">
        <f>[1]!s_stmnote_bank(A66,"37",$A$43,100000000)</f>
        <v>9.02318</v>
      </c>
      <c r="F66" s="43">
        <f>[1]!s_stmnote_bank(A66,"40",$A$43,100000000)</f>
        <v>0.19458</v>
      </c>
      <c r="G66" s="43">
        <f>[1]!s_stmnote_bank(A66,"43",$A$43,100000000)</f>
        <v>5.4859999999999999E-2</v>
      </c>
      <c r="H66" s="43">
        <f>[1]!s_stmnote_bank_1n(A66,$A$43,1,100000000)</f>
        <v>717.46743000000004</v>
      </c>
      <c r="I66" s="45">
        <f t="shared" si="20"/>
        <v>0.95569814228361549</v>
      </c>
      <c r="J66" s="45">
        <f t="shared" si="21"/>
        <v>3.1377758848230922E-2</v>
      </c>
      <c r="K66" s="45">
        <f t="shared" si="22"/>
        <v>1.2576431518292056E-2</v>
      </c>
      <c r="L66" s="45">
        <f t="shared" si="23"/>
        <v>2.7120394858899725E-4</v>
      </c>
      <c r="M66" s="45">
        <f t="shared" si="24"/>
        <v>7.6463401272445206E-5</v>
      </c>
      <c r="N66" s="40">
        <f t="shared" si="25"/>
        <v>0.99999999999999989</v>
      </c>
      <c r="O66" s="42"/>
    </row>
    <row r="67" spans="1:15" x14ac:dyDescent="0.2">
      <c r="A67" t="str">
        <f>[1]!to_tradecode(B67)</f>
        <v>002807</v>
      </c>
      <c r="B67" t="s">
        <v>102</v>
      </c>
      <c r="C67" s="43">
        <f>[1]!s_stmnote_bank(A67,"31",$A$43,100000000)</f>
        <v>517.12267999999995</v>
      </c>
      <c r="D67" s="43">
        <f>[1]!s_stmnote_bank(A67,"34",$A$43,100000000)</f>
        <v>10.763260000000001</v>
      </c>
      <c r="E67" s="43">
        <f>[1]!s_stmnote_bank(A67,"37",$A$43,100000000)</f>
        <v>5.0457700000000001</v>
      </c>
      <c r="F67" s="43">
        <f>[1]!s_stmnote_bank(A67,"40",$A$43,100000000)</f>
        <v>6.7613799999999999</v>
      </c>
      <c r="G67" s="43">
        <f>[1]!s_stmnote_bank(A67,"43",$A$43,100000000)</f>
        <v>1.4669700000000001</v>
      </c>
      <c r="H67" s="43">
        <f>[1]!s_stmnote_bank_1n(A67,$A$43,1,100000000)</f>
        <v>541.16006000000004</v>
      </c>
      <c r="I67" s="45">
        <f t="shared" si="20"/>
        <v>0.95558175523892119</v>
      </c>
      <c r="J67" s="45">
        <f t="shared" si="21"/>
        <v>1.9889235728150375E-2</v>
      </c>
      <c r="K67" s="45">
        <f t="shared" si="22"/>
        <v>9.323988174589232E-3</v>
      </c>
      <c r="L67" s="45">
        <f t="shared" si="23"/>
        <v>1.2494233221867851E-2</v>
      </c>
      <c r="M67" s="45">
        <f t="shared" si="24"/>
        <v>2.7107876364711762E-3</v>
      </c>
      <c r="N67" s="40">
        <f t="shared" si="25"/>
        <v>0.99999999999999978</v>
      </c>
      <c r="O67" s="42"/>
    </row>
    <row r="68" spans="1:15" x14ac:dyDescent="0.2">
      <c r="A68" t="str">
        <f>[1]!to_tradecode(B68)</f>
        <v>603323</v>
      </c>
      <c r="B68" t="s">
        <v>115</v>
      </c>
      <c r="C68" s="43">
        <f>[1]!s_stmnote_bank(A68,"31",$A$43,100000000)</f>
        <v>409.86730999999997</v>
      </c>
      <c r="D68" s="43">
        <f>[1]!s_stmnote_bank(A68,"34",$A$43,100000000)</f>
        <v>57.653190000000002</v>
      </c>
      <c r="E68" s="43">
        <f>[1]!s_stmnote_bank(A68,"37",$A$43,100000000)</f>
        <v>6.22966</v>
      </c>
      <c r="F68" s="43">
        <f>[1]!s_stmnote_bank(A68,"40",$A$43,100000000)</f>
        <v>1.1354299999999999</v>
      </c>
      <c r="G68" s="43">
        <f>[1]!s_stmnote_bank(A68,"43",$A$43,100000000)</f>
        <v>0.77741000000000005</v>
      </c>
      <c r="H68" s="43">
        <f>[1]!s_stmnote_bank_1n(A68,$A$43,1,100000000)</f>
        <v>475.66300000000001</v>
      </c>
      <c r="I68" s="45">
        <f t="shared" si="20"/>
        <v>0.8616758293161334</v>
      </c>
      <c r="J68" s="45">
        <f t="shared" si="21"/>
        <v>0.12120595884060774</v>
      </c>
      <c r="K68" s="45">
        <f t="shared" si="22"/>
        <v>1.3096793317958303E-2</v>
      </c>
      <c r="L68" s="45">
        <f t="shared" si="23"/>
        <v>2.387047132108236E-3</v>
      </c>
      <c r="M68" s="45">
        <f t="shared" si="24"/>
        <v>1.6343713931922391E-3</v>
      </c>
      <c r="N68" s="40">
        <f t="shared" si="25"/>
        <v>0.99999999999999989</v>
      </c>
      <c r="O68" s="42"/>
    </row>
    <row r="69" spans="1:15" x14ac:dyDescent="0.2">
      <c r="A69" t="str">
        <f>[1]!to_tradecode(B69)</f>
        <v>002839</v>
      </c>
      <c r="B69" t="s">
        <v>116</v>
      </c>
      <c r="C69" s="43">
        <f>[1]!s_stmnote_bank(A69,"31",$A$43,100000000)</f>
        <v>432.94372017239999</v>
      </c>
      <c r="D69" s="43">
        <f>[1]!s_stmnote_bank(A69,"34",$A$43,100000000)</f>
        <v>32.681458633200002</v>
      </c>
      <c r="E69" s="43">
        <f>[1]!s_stmnote_bank(A69,"37",$A$43,100000000)</f>
        <v>6.9045525099000002</v>
      </c>
      <c r="F69" s="43">
        <f>[1]!s_stmnote_bank(A69,"40",$A$43,100000000)</f>
        <v>2.1178688054000001</v>
      </c>
      <c r="G69" s="43">
        <f>[1]!s_stmnote_bank(A69,"43",$A$43,100000000)</f>
        <v>0.33062362750000002</v>
      </c>
      <c r="H69" s="43">
        <f>[1]!s_stmnote_bank_1n(A69,$A$43,1,100000000)</f>
        <v>474.97822374839996</v>
      </c>
      <c r="I69" s="45">
        <f t="shared" si="20"/>
        <v>0.91150225110474536</v>
      </c>
      <c r="J69" s="45">
        <f t="shared" si="21"/>
        <v>6.8806225210256478E-2</v>
      </c>
      <c r="K69" s="45">
        <f t="shared" si="22"/>
        <v>1.4536566445954375E-2</v>
      </c>
      <c r="L69" s="45">
        <f t="shared" si="23"/>
        <v>4.4588755852559957E-3</v>
      </c>
      <c r="M69" s="45">
        <f t="shared" si="24"/>
        <v>6.9608165378784643E-4</v>
      </c>
      <c r="N69" s="40">
        <f t="shared" si="25"/>
        <v>1</v>
      </c>
      <c r="O69" s="42"/>
    </row>
  </sheetData>
  <mergeCells count="4">
    <mergeCell ref="A13:A17"/>
    <mergeCell ref="A18:A25"/>
    <mergeCell ref="A26:A32"/>
    <mergeCell ref="A33:A37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数据底稿</vt:lpstr>
      <vt:lpstr>非标类信贷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2017-09-22T05:58:26Z</dcterms:modified>
</cp:coreProperties>
</file>