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codeName="ThisWorkbook"/>
  <bookViews>
    <workbookView xWindow="0" yWindow="0" windowWidth="22260" windowHeight="12645" activeTab="1"/>
  </bookViews>
  <sheets>
    <sheet name="output2" sheetId="4" r:id="rId1"/>
    <sheet name="Sheet2" sheetId="6" r:id="rId2"/>
    <sheet name="output1" sheetId="3" r:id="rId3"/>
    <sheet name="Sheet1" sheetId="5" r:id="rId4"/>
    <sheet name="非标类信贷" sheetId="2" r:id="rId5"/>
    <sheet name="数据底稿" sheetId="1" r:id="rId6"/>
  </sheets>
  <externalReferences>
    <externalReference r:id="rId7"/>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3" i="6" l="1"/>
  <c r="G33" i="6"/>
  <c r="D33" i="6"/>
  <c r="C33" i="6"/>
  <c r="H32" i="6"/>
  <c r="G32" i="6"/>
  <c r="D32" i="6"/>
  <c r="C32" i="6"/>
  <c r="H26" i="6"/>
  <c r="G26" i="6"/>
  <c r="D26" i="6"/>
  <c r="C26" i="6"/>
  <c r="H18" i="6"/>
  <c r="G18" i="6"/>
  <c r="D18" i="6"/>
  <c r="C18" i="6"/>
  <c r="H9" i="6"/>
  <c r="I9" i="6" s="1"/>
  <c r="G9" i="6"/>
  <c r="D9" i="6"/>
  <c r="C9" i="6"/>
  <c r="S44" i="6"/>
  <c r="J30" i="6"/>
  <c r="J28" i="6"/>
  <c r="J25" i="6"/>
  <c r="J21" i="6"/>
  <c r="J17" i="6"/>
  <c r="J16" i="6"/>
  <c r="J13" i="6"/>
  <c r="J12" i="6"/>
  <c r="J8" i="6"/>
  <c r="F29" i="6"/>
  <c r="F25" i="6"/>
  <c r="F23" i="6"/>
  <c r="F21" i="6"/>
  <c r="F19" i="6"/>
  <c r="F14" i="6"/>
  <c r="F10" i="6"/>
  <c r="K33" i="6"/>
  <c r="I5" i="6"/>
  <c r="J5" i="6" s="1"/>
  <c r="I6" i="6"/>
  <c r="J6" i="6" s="1"/>
  <c r="I7" i="6"/>
  <c r="J7" i="6" s="1"/>
  <c r="I8" i="6"/>
  <c r="I10" i="6"/>
  <c r="J10" i="6" s="1"/>
  <c r="I11" i="6"/>
  <c r="J11" i="6" s="1"/>
  <c r="I12" i="6"/>
  <c r="I13" i="6"/>
  <c r="I14" i="6"/>
  <c r="J14" i="6" s="1"/>
  <c r="I15" i="6"/>
  <c r="J15" i="6" s="1"/>
  <c r="I16" i="6"/>
  <c r="I17" i="6"/>
  <c r="I19" i="6"/>
  <c r="J19" i="6" s="1"/>
  <c r="I20" i="6"/>
  <c r="J20" i="6" s="1"/>
  <c r="I21" i="6"/>
  <c r="I22" i="6"/>
  <c r="J22" i="6" s="1"/>
  <c r="I23" i="6"/>
  <c r="J23" i="6" s="1"/>
  <c r="I24" i="6"/>
  <c r="J24" i="6" s="1"/>
  <c r="I25" i="6"/>
  <c r="I27" i="6"/>
  <c r="J27" i="6" s="1"/>
  <c r="I28" i="6"/>
  <c r="I29" i="6"/>
  <c r="J29" i="6" s="1"/>
  <c r="I30" i="6"/>
  <c r="I31" i="6"/>
  <c r="J31" i="6" s="1"/>
  <c r="I4" i="6"/>
  <c r="J4" i="6" s="1"/>
  <c r="K9" i="6"/>
  <c r="E5" i="6"/>
  <c r="F5" i="6" s="1"/>
  <c r="E6" i="6"/>
  <c r="F6" i="6" s="1"/>
  <c r="E7" i="6"/>
  <c r="F7" i="6" s="1"/>
  <c r="E8" i="6"/>
  <c r="F8" i="6" s="1"/>
  <c r="E10" i="6"/>
  <c r="E11" i="6"/>
  <c r="F11" i="6" s="1"/>
  <c r="E12" i="6"/>
  <c r="F12" i="6" s="1"/>
  <c r="E13" i="6"/>
  <c r="F13" i="6" s="1"/>
  <c r="E14" i="6"/>
  <c r="E15" i="6"/>
  <c r="F15" i="6" s="1"/>
  <c r="E16" i="6"/>
  <c r="F16" i="6" s="1"/>
  <c r="E17" i="6"/>
  <c r="F17" i="6" s="1"/>
  <c r="E19" i="6"/>
  <c r="E20" i="6"/>
  <c r="F20" i="6" s="1"/>
  <c r="E21" i="6"/>
  <c r="E22" i="6"/>
  <c r="F22" i="6" s="1"/>
  <c r="E23" i="6"/>
  <c r="E24" i="6"/>
  <c r="F24" i="6" s="1"/>
  <c r="E25" i="6"/>
  <c r="E27" i="6"/>
  <c r="F27" i="6" s="1"/>
  <c r="E28" i="6"/>
  <c r="F28" i="6" s="1"/>
  <c r="E29" i="6"/>
  <c r="E30" i="6"/>
  <c r="F30" i="6" s="1"/>
  <c r="E31" i="6"/>
  <c r="F31" i="6" s="1"/>
  <c r="E4" i="6"/>
  <c r="F4" i="6" s="1"/>
  <c r="R49" i="6"/>
  <c r="S48" i="6"/>
  <c r="S49" i="6" s="1"/>
  <c r="T48" i="6"/>
  <c r="U48" i="6" s="1"/>
  <c r="V48" i="6" s="1"/>
  <c r="W48" i="6" s="1"/>
  <c r="M25" i="6"/>
  <c r="K32" i="6"/>
  <c r="K26" i="6"/>
  <c r="M5" i="6"/>
  <c r="M6" i="6"/>
  <c r="M7" i="6"/>
  <c r="M8" i="6"/>
  <c r="M10" i="6"/>
  <c r="M11" i="6"/>
  <c r="M12" i="6"/>
  <c r="M13" i="6"/>
  <c r="M14" i="6"/>
  <c r="M15" i="6"/>
  <c r="M16" i="6"/>
  <c r="M17" i="6"/>
  <c r="M19" i="6"/>
  <c r="M20" i="6"/>
  <c r="M21" i="6"/>
  <c r="M22" i="6"/>
  <c r="M23" i="6"/>
  <c r="M24" i="6"/>
  <c r="M27" i="6"/>
  <c r="M28" i="6"/>
  <c r="M29" i="6"/>
  <c r="M30" i="6"/>
  <c r="M31" i="6"/>
  <c r="M4" i="6"/>
  <c r="E32" i="6"/>
  <c r="E26" i="6"/>
  <c r="E18" i="6"/>
  <c r="E9" i="6"/>
  <c r="F33" i="6" l="1"/>
  <c r="W49" i="6"/>
  <c r="X48" i="6"/>
  <c r="J33" i="6"/>
  <c r="L18" i="6"/>
  <c r="L32" i="6"/>
  <c r="M32" i="6" s="1"/>
  <c r="V49" i="6"/>
  <c r="U49" i="6"/>
  <c r="I26" i="6"/>
  <c r="I18" i="6"/>
  <c r="L26" i="6"/>
  <c r="M26" i="6" s="1"/>
  <c r="N26" i="6" s="1"/>
  <c r="T49" i="6"/>
  <c r="I33" i="6"/>
  <c r="I32" i="6"/>
  <c r="L33" i="6"/>
  <c r="M33" i="6" s="1"/>
  <c r="E33" i="6"/>
  <c r="L9" i="6"/>
  <c r="M9" i="6" s="1"/>
  <c r="N9" i="6" s="1"/>
  <c r="K18" i="6"/>
  <c r="N4" i="6"/>
  <c r="N31" i="6"/>
  <c r="N27" i="6"/>
  <c r="N22" i="6"/>
  <c r="N17" i="6"/>
  <c r="N13" i="6"/>
  <c r="N8" i="6"/>
  <c r="N25" i="6"/>
  <c r="N21" i="6"/>
  <c r="N16" i="6"/>
  <c r="N12" i="6"/>
  <c r="N7" i="6"/>
  <c r="N29" i="6"/>
  <c r="N24" i="6"/>
  <c r="N20" i="6"/>
  <c r="N15" i="6"/>
  <c r="N11" i="6"/>
  <c r="N6" i="6"/>
  <c r="N30" i="6"/>
  <c r="N28" i="6"/>
  <c r="N23" i="6"/>
  <c r="N19" i="6"/>
  <c r="N14" i="6"/>
  <c r="N10" i="6"/>
  <c r="N5" i="6"/>
  <c r="AB31" i="2"/>
  <c r="AB30" i="2"/>
  <c r="AB29" i="2"/>
  <c r="Y31" i="2"/>
  <c r="AE31" i="2" s="1"/>
  <c r="Y30" i="2"/>
  <c r="Y29" i="2"/>
  <c r="AE30" i="2"/>
  <c r="AE29" i="2"/>
  <c r="Y48" i="6" l="1"/>
  <c r="X49" i="6"/>
  <c r="M18" i="6"/>
  <c r="N18" i="6" s="1"/>
  <c r="F10" i="4"/>
  <c r="E8" i="4"/>
  <c r="AD29" i="2"/>
  <c r="AD30" i="2"/>
  <c r="AD31" i="2"/>
  <c r="Y49" i="6" l="1"/>
  <c r="Z48" i="6"/>
  <c r="AF30" i="2"/>
  <c r="AF29" i="2"/>
  <c r="AF31" i="2"/>
  <c r="G29" i="4"/>
  <c r="G32" i="4"/>
  <c r="G33" i="4"/>
  <c r="F34" i="4"/>
  <c r="F33" i="4"/>
  <c r="F32" i="4"/>
  <c r="F31" i="4"/>
  <c r="F30" i="4"/>
  <c r="F29" i="4"/>
  <c r="F28" i="4"/>
  <c r="F27" i="4"/>
  <c r="F26" i="4"/>
  <c r="F25" i="4"/>
  <c r="F24" i="4"/>
  <c r="F23" i="4"/>
  <c r="F22" i="4"/>
  <c r="F21" i="4"/>
  <c r="F20" i="4"/>
  <c r="F19" i="4"/>
  <c r="F18" i="4"/>
  <c r="F17" i="4"/>
  <c r="F16" i="4"/>
  <c r="F15" i="4"/>
  <c r="F14" i="4"/>
  <c r="F13" i="4"/>
  <c r="F12" i="4"/>
  <c r="F11" i="4"/>
  <c r="O61" i="1"/>
  <c r="A61" i="2"/>
  <c r="M22" i="1"/>
  <c r="A42" i="1"/>
  <c r="A56" i="2"/>
  <c r="A52" i="2"/>
  <c r="J22" i="1"/>
  <c r="A71" i="2"/>
  <c r="G71" i="2"/>
  <c r="E61" i="2"/>
  <c r="A53" i="2"/>
  <c r="A62" i="2"/>
  <c r="G22" i="1"/>
  <c r="H71" i="2"/>
  <c r="A58" i="2"/>
  <c r="E52" i="2"/>
  <c r="E56" i="2"/>
  <c r="F56" i="2"/>
  <c r="F53" i="2"/>
  <c r="D62" i="2"/>
  <c r="F62" i="2"/>
  <c r="C58" i="2"/>
  <c r="E58" i="2"/>
  <c r="R52" i="2"/>
  <c r="R62" i="2"/>
  <c r="R58" i="2"/>
  <c r="S71" i="2"/>
  <c r="S58" i="2"/>
  <c r="A48" i="2"/>
  <c r="L61" i="1"/>
  <c r="Q48" i="2"/>
  <c r="H42" i="1"/>
  <c r="A50" i="2"/>
  <c r="Q56" i="2"/>
  <c r="Q52" i="2"/>
  <c r="A66" i="2"/>
  <c r="A63" i="2"/>
  <c r="C63" i="2" s="1"/>
  <c r="F61" i="2"/>
  <c r="C56" i="2"/>
  <c r="F66" i="2"/>
  <c r="S22" i="1"/>
  <c r="G61" i="2"/>
  <c r="G4" i="1"/>
  <c r="A22" i="1"/>
  <c r="D4" i="1"/>
  <c r="Q63" i="2"/>
  <c r="F48" i="2"/>
  <c r="A51" i="2"/>
  <c r="H51" i="2" s="1"/>
  <c r="Q66" i="2"/>
  <c r="D63" i="2"/>
  <c r="H52" i="2"/>
  <c r="E48" i="2"/>
  <c r="D56" i="2"/>
  <c r="H50" i="2"/>
  <c r="F71" i="2"/>
  <c r="H63" i="2"/>
  <c r="E53" i="2"/>
  <c r="Q62" i="2"/>
  <c r="C51" i="2"/>
  <c r="H58" i="2"/>
  <c r="G58" i="2"/>
  <c r="S61" i="2"/>
  <c r="S56" i="2"/>
  <c r="S63" i="2"/>
  <c r="S53" i="2"/>
  <c r="S51" i="2"/>
  <c r="S62" i="2"/>
  <c r="K42" i="1"/>
  <c r="J4" i="1"/>
  <c r="A4" i="1"/>
  <c r="N42" i="1"/>
  <c r="A64" i="2"/>
  <c r="A72" i="2"/>
  <c r="D64" i="2"/>
  <c r="A55" i="2"/>
  <c r="C48" i="2"/>
  <c r="E61" i="1"/>
  <c r="C52" i="2"/>
  <c r="A61" i="1"/>
  <c r="Q42" i="1"/>
  <c r="D71" i="2"/>
  <c r="Q50" i="2"/>
  <c r="F64" i="2"/>
  <c r="E63" i="2"/>
  <c r="A69" i="2"/>
  <c r="F52" i="2"/>
  <c r="D52" i="2"/>
  <c r="A49" i="2"/>
  <c r="A60" i="2"/>
  <c r="D48" i="2"/>
  <c r="D61" i="2"/>
  <c r="H60" i="2"/>
  <c r="G62" i="2"/>
  <c r="F60" i="2"/>
  <c r="G51" i="2"/>
  <c r="F55" i="2"/>
  <c r="C53" i="2"/>
  <c r="H66" i="2"/>
  <c r="D51" i="2"/>
  <c r="G56" i="2"/>
  <c r="E72" i="2"/>
  <c r="C55" i="2"/>
  <c r="Q71" i="2"/>
  <c r="G63" i="2"/>
  <c r="C69" i="2"/>
  <c r="F69" i="2"/>
  <c r="D53" i="2"/>
  <c r="C62" i="2"/>
  <c r="G49" i="2"/>
  <c r="D60" i="2"/>
  <c r="E60" i="2"/>
  <c r="Q51" i="2"/>
  <c r="Q58" i="2"/>
  <c r="F58" i="2"/>
  <c r="R61" i="2"/>
  <c r="R64" i="2"/>
  <c r="R56" i="2"/>
  <c r="R72" i="2"/>
  <c r="R55" i="2"/>
  <c r="R71" i="2"/>
  <c r="R63" i="2"/>
  <c r="R69" i="2"/>
  <c r="R53" i="2"/>
  <c r="R49" i="2"/>
  <c r="R51" i="2"/>
  <c r="A67" i="2"/>
  <c r="H48" i="2"/>
  <c r="A54" i="2"/>
  <c r="H61" i="1"/>
  <c r="A59" i="2"/>
  <c r="C59" i="2"/>
  <c r="T42" i="1"/>
  <c r="A70" i="2"/>
  <c r="F70" i="2"/>
  <c r="A65" i="2"/>
  <c r="F67" i="2"/>
  <c r="G52" i="2"/>
  <c r="G66" i="2"/>
  <c r="A68" i="2"/>
  <c r="V22" i="1"/>
  <c r="E66" i="2"/>
  <c r="G50" i="2"/>
  <c r="H64" i="2"/>
  <c r="G59" i="2"/>
  <c r="M4" i="1"/>
  <c r="C50" i="2"/>
  <c r="A57" i="2"/>
  <c r="E42" i="1"/>
  <c r="C71" i="2"/>
  <c r="E71" i="2"/>
  <c r="H69" i="2"/>
  <c r="P22" i="1"/>
  <c r="H57" i="2"/>
  <c r="D22" i="1"/>
  <c r="G57" i="2"/>
  <c r="Q54" i="2"/>
  <c r="H56" i="2"/>
  <c r="D72" i="2"/>
  <c r="C70" i="2"/>
  <c r="Q67" i="2"/>
  <c r="Q61" i="2"/>
  <c r="E62" i="2"/>
  <c r="C49" i="2"/>
  <c r="Q70" i="2"/>
  <c r="F50" i="2"/>
  <c r="Q72" i="2"/>
  <c r="D65" i="2"/>
  <c r="D66" i="2"/>
  <c r="F63" i="2"/>
  <c r="E69" i="2"/>
  <c r="D69" i="2"/>
  <c r="Q53" i="2"/>
  <c r="H53" i="2"/>
  <c r="H62" i="2"/>
  <c r="Q49" i="2"/>
  <c r="C60" i="2"/>
  <c r="E51" i="2"/>
  <c r="F51" i="2"/>
  <c r="D58" i="2"/>
  <c r="R70" i="2"/>
  <c r="S48" i="2"/>
  <c r="S54" i="2"/>
  <c r="S59" i="2"/>
  <c r="S50" i="2"/>
  <c r="S52" i="2"/>
  <c r="S65" i="2"/>
  <c r="S66" i="2"/>
  <c r="S60" i="2"/>
  <c r="R48" i="2"/>
  <c r="G48" i="2"/>
  <c r="R50" i="2"/>
  <c r="E50" i="2"/>
  <c r="D50" i="2"/>
  <c r="R66" i="2"/>
  <c r="C66" i="2"/>
  <c r="S64" i="2"/>
  <c r="C64" i="2"/>
  <c r="E64" i="2"/>
  <c r="Q64" i="2"/>
  <c r="S72" i="2"/>
  <c r="F72" i="2"/>
  <c r="G72" i="2"/>
  <c r="C72" i="2"/>
  <c r="H72" i="2"/>
  <c r="S55" i="2"/>
  <c r="H55" i="2"/>
  <c r="Q55" i="2"/>
  <c r="D55" i="2"/>
  <c r="G55" i="2"/>
  <c r="G69" i="2"/>
  <c r="S69" i="2"/>
  <c r="Q69" i="2"/>
  <c r="D49" i="2"/>
  <c r="E49" i="2"/>
  <c r="S49" i="2"/>
  <c r="F49" i="2"/>
  <c r="H49" i="2"/>
  <c r="G60" i="2"/>
  <c r="R60" i="2"/>
  <c r="Q60" i="2"/>
  <c r="R67" i="2"/>
  <c r="D67" i="2"/>
  <c r="S67" i="2"/>
  <c r="H67" i="2"/>
  <c r="E67" i="2"/>
  <c r="C67" i="2"/>
  <c r="D54" i="2"/>
  <c r="R54" i="2"/>
  <c r="F54" i="2"/>
  <c r="E54" i="2"/>
  <c r="C54" i="2"/>
  <c r="G54" i="2"/>
  <c r="H54" i="2"/>
  <c r="D59" i="2"/>
  <c r="H59" i="2"/>
  <c r="Q59" i="2"/>
  <c r="F59" i="2"/>
  <c r="E59" i="2"/>
  <c r="R59" i="2"/>
  <c r="H70" i="2"/>
  <c r="E70" i="2"/>
  <c r="D70" i="2"/>
  <c r="G70" i="2"/>
  <c r="E65" i="2"/>
  <c r="H65" i="2"/>
  <c r="R65" i="2"/>
  <c r="C65" i="2"/>
  <c r="Q65" i="2"/>
  <c r="F65" i="2"/>
  <c r="C68" i="2"/>
  <c r="Q68" i="2"/>
  <c r="D68" i="2"/>
  <c r="E68" i="2"/>
  <c r="S68" i="2"/>
  <c r="R68" i="2"/>
  <c r="F68" i="2"/>
  <c r="H68" i="2"/>
  <c r="G68" i="2"/>
  <c r="S57" i="2"/>
  <c r="D57" i="2"/>
  <c r="F57" i="2"/>
  <c r="Q57" i="2"/>
  <c r="R57" i="2"/>
  <c r="C57" i="2"/>
  <c r="E57" i="2"/>
  <c r="AA48" i="6" l="1"/>
  <c r="Z49" i="6"/>
  <c r="T57" i="2"/>
  <c r="T68" i="2"/>
  <c r="T65" i="2"/>
  <c r="T59" i="2"/>
  <c r="T54" i="2"/>
  <c r="T67" i="2"/>
  <c r="T60" i="2"/>
  <c r="T66" i="2"/>
  <c r="T50" i="2"/>
  <c r="T48" i="2"/>
  <c r="T51" i="2"/>
  <c r="T49" i="2"/>
  <c r="T53" i="2"/>
  <c r="T69" i="2"/>
  <c r="T63" i="2"/>
  <c r="T71" i="2"/>
  <c r="T55" i="2"/>
  <c r="T72" i="2"/>
  <c r="T56" i="2"/>
  <c r="T64" i="2"/>
  <c r="T61" i="2"/>
  <c r="T58" i="2"/>
  <c r="T62" i="2"/>
  <c r="T52" i="2"/>
  <c r="E21" i="1"/>
  <c r="E22" i="1" s="1"/>
  <c r="B29" i="1"/>
  <c r="M60" i="1"/>
  <c r="C61" i="2"/>
  <c r="G65" i="2"/>
  <c r="G64" i="2"/>
  <c r="E55" i="2"/>
  <c r="G53" i="2"/>
  <c r="S70" i="2"/>
  <c r="G67" i="2"/>
  <c r="F69" i="1"/>
  <c r="AB48" i="6" l="1"/>
  <c r="AA49" i="6"/>
  <c r="T70" i="2"/>
  <c r="B10" i="1"/>
  <c r="B16" i="1"/>
  <c r="AC48" i="6" l="1"/>
  <c r="AB49" i="6"/>
  <c r="C25" i="2"/>
  <c r="C22" i="2"/>
  <c r="B35" i="1"/>
  <c r="B21" i="1"/>
  <c r="B22" i="1" s="1"/>
  <c r="E34" i="1"/>
  <c r="E28" i="1"/>
  <c r="B3" i="1"/>
  <c r="C16" i="2" s="1"/>
  <c r="N3" i="1"/>
  <c r="K3" i="1"/>
  <c r="P60" i="1"/>
  <c r="I66" i="1"/>
  <c r="I68" i="1" s="1"/>
  <c r="F60" i="1"/>
  <c r="O41" i="1"/>
  <c r="O49" i="1"/>
  <c r="O51" i="1" s="1"/>
  <c r="L41" i="1"/>
  <c r="I69" i="1"/>
  <c r="O54" i="1"/>
  <c r="AD48" i="6" l="1"/>
  <c r="AC49" i="6"/>
  <c r="D16" i="2"/>
  <c r="D21" i="2"/>
  <c r="AA29" i="2" s="1"/>
  <c r="AC29" i="2" s="1"/>
  <c r="D22" i="2"/>
  <c r="AA30" i="2" s="1"/>
  <c r="AC30" i="2" s="1"/>
  <c r="C21" i="2"/>
  <c r="I41" i="1"/>
  <c r="F48" i="1"/>
  <c r="F41" i="1" s="1"/>
  <c r="B53" i="1"/>
  <c r="B54" i="1" s="1"/>
  <c r="B55" i="1"/>
  <c r="H21" i="1"/>
  <c r="AD49" i="6" l="1"/>
  <c r="AE48" i="6"/>
  <c r="V16" i="2"/>
  <c r="G10" i="4" s="1"/>
  <c r="D10" i="4"/>
  <c r="V22" i="2"/>
  <c r="G16" i="4" s="1"/>
  <c r="D16" i="4"/>
  <c r="V21" i="2"/>
  <c r="G15" i="4" s="1"/>
  <c r="D15" i="4"/>
  <c r="B56" i="1"/>
  <c r="D16" i="3"/>
  <c r="D15" i="3"/>
  <c r="Q16" i="2"/>
  <c r="F10" i="3" s="1"/>
  <c r="D10" i="3"/>
  <c r="B41" i="1"/>
  <c r="F50" i="1"/>
  <c r="T21" i="1"/>
  <c r="T36" i="1"/>
  <c r="F52" i="1"/>
  <c r="T38" i="1"/>
  <c r="B57" i="1"/>
  <c r="AF48" i="6" l="1"/>
  <c r="AE49" i="6"/>
  <c r="D25" i="2"/>
  <c r="T22" i="1"/>
  <c r="H32" i="1"/>
  <c r="E3" i="1"/>
  <c r="AG48" i="6" l="1"/>
  <c r="AF49" i="6"/>
  <c r="D19" i="4"/>
  <c r="AA31" i="2"/>
  <c r="AC31" i="2" s="1"/>
  <c r="Q25" i="2"/>
  <c r="V25" i="2"/>
  <c r="G19" i="4" s="1"/>
  <c r="D19" i="3"/>
  <c r="I60" i="1"/>
  <c r="R41" i="1"/>
  <c r="C38" i="2"/>
  <c r="P68" i="1"/>
  <c r="P70" i="1" s="1"/>
  <c r="I50" i="1"/>
  <c r="I52" i="1" s="1"/>
  <c r="W31" i="1"/>
  <c r="Q30" i="1"/>
  <c r="Q21" i="1" s="1"/>
  <c r="N28" i="1"/>
  <c r="N21" i="1" s="1"/>
  <c r="C23" i="2"/>
  <c r="N11" i="1"/>
  <c r="N13" i="1" s="1"/>
  <c r="H15" i="1"/>
  <c r="H3" i="1" s="1"/>
  <c r="N16" i="1"/>
  <c r="I54" i="1"/>
  <c r="P71" i="1"/>
  <c r="AH48" i="6" l="1"/>
  <c r="AG49" i="6"/>
  <c r="D23" i="2"/>
  <c r="W33" i="1"/>
  <c r="W21" i="1"/>
  <c r="C28" i="2" s="1"/>
  <c r="C26" i="2"/>
  <c r="C27" i="2"/>
  <c r="C18" i="2"/>
  <c r="H17" i="1"/>
  <c r="H34" i="1"/>
  <c r="B37" i="1"/>
  <c r="N30" i="1"/>
  <c r="Q32" i="1"/>
  <c r="E11" i="1"/>
  <c r="E13" i="1" s="1"/>
  <c r="B38" i="1"/>
  <c r="E16" i="1"/>
  <c r="N32" i="1"/>
  <c r="H35" i="1"/>
  <c r="Q34" i="1"/>
  <c r="W35" i="1"/>
  <c r="H18" i="1"/>
  <c r="AI48" i="6" l="1"/>
  <c r="AH49" i="6"/>
  <c r="V23" i="2"/>
  <c r="G17" i="4" s="1"/>
  <c r="D17" i="4"/>
  <c r="D17" i="3"/>
  <c r="S21" i="2"/>
  <c r="S37" i="2"/>
  <c r="D26" i="2"/>
  <c r="I56" i="2"/>
  <c r="I54" i="2"/>
  <c r="I58" i="2"/>
  <c r="I61" i="2"/>
  <c r="I65" i="2"/>
  <c r="I55" i="2"/>
  <c r="I71" i="2"/>
  <c r="I60" i="2"/>
  <c r="D38" i="2"/>
  <c r="D32" i="4" s="1"/>
  <c r="C20" i="2"/>
  <c r="C40" i="2"/>
  <c r="C37" i="2"/>
  <c r="C36" i="2"/>
  <c r="C34" i="2"/>
  <c r="C33" i="2"/>
  <c r="C35" i="2"/>
  <c r="C19" i="2"/>
  <c r="AJ48" i="6" l="1"/>
  <c r="AI49" i="6"/>
  <c r="I66" i="2"/>
  <c r="I70" i="2"/>
  <c r="D20" i="4"/>
  <c r="V26" i="2"/>
  <c r="G20" i="4" s="1"/>
  <c r="S22" i="2"/>
  <c r="S19" i="2"/>
  <c r="S20" i="2"/>
  <c r="S17" i="2"/>
  <c r="S36" i="2"/>
  <c r="S26" i="2"/>
  <c r="S30" i="2"/>
  <c r="S23" i="2"/>
  <c r="S24" i="2"/>
  <c r="S25" i="2"/>
  <c r="S27" i="2"/>
  <c r="S16" i="2"/>
  <c r="S38" i="2"/>
  <c r="S35" i="2"/>
  <c r="S29" i="2"/>
  <c r="S28" i="2"/>
  <c r="S32" i="2"/>
  <c r="D32" i="3"/>
  <c r="D20" i="3"/>
  <c r="I52" i="2"/>
  <c r="I50" i="2"/>
  <c r="S31" i="2"/>
  <c r="S34" i="2"/>
  <c r="S40" i="2"/>
  <c r="S18" i="2"/>
  <c r="S39" i="2"/>
  <c r="S33" i="2"/>
  <c r="Q26" i="2"/>
  <c r="F20" i="3" s="1"/>
  <c r="D20" i="2"/>
  <c r="I67" i="2"/>
  <c r="I63" i="2"/>
  <c r="I49" i="2"/>
  <c r="I64" i="2"/>
  <c r="I53" i="2"/>
  <c r="I48" i="2"/>
  <c r="I51" i="2"/>
  <c r="I57" i="2"/>
  <c r="I69" i="2"/>
  <c r="C39" i="2"/>
  <c r="I62" i="2"/>
  <c r="I59" i="2"/>
  <c r="I68" i="2"/>
  <c r="I72" i="2"/>
  <c r="Q38" i="2"/>
  <c r="F32" i="3" s="1"/>
  <c r="K48" i="2"/>
  <c r="C31" i="2"/>
  <c r="D36" i="2"/>
  <c r="D28" i="2"/>
  <c r="D34" i="2"/>
  <c r="D19" i="2"/>
  <c r="D35" i="2"/>
  <c r="D29" i="4" s="1"/>
  <c r="D37" i="2"/>
  <c r="D27" i="2"/>
  <c r="D33" i="2"/>
  <c r="D40" i="2"/>
  <c r="O72" i="2"/>
  <c r="O60" i="2"/>
  <c r="O52" i="2"/>
  <c r="O71" i="2"/>
  <c r="O67" i="2"/>
  <c r="O63" i="2"/>
  <c r="O59" i="2"/>
  <c r="O55" i="2"/>
  <c r="I23" i="2" s="1"/>
  <c r="O51" i="2"/>
  <c r="O64" i="2"/>
  <c r="O70" i="2"/>
  <c r="O66" i="2"/>
  <c r="O62" i="2"/>
  <c r="O58" i="2"/>
  <c r="I26" i="2" s="1"/>
  <c r="O54" i="2"/>
  <c r="I22" i="2" s="1"/>
  <c r="O68" i="2"/>
  <c r="O56" i="2"/>
  <c r="O69" i="2"/>
  <c r="O65" i="2"/>
  <c r="O61" i="2"/>
  <c r="O57" i="2"/>
  <c r="I25" i="2" s="1"/>
  <c r="O53" i="2"/>
  <c r="I21" i="2" s="1"/>
  <c r="O49" i="2"/>
  <c r="O48" i="2"/>
  <c r="I16" i="2" s="1"/>
  <c r="N50" i="2"/>
  <c r="O50" i="2"/>
  <c r="N48" i="2"/>
  <c r="H16" i="2" s="1"/>
  <c r="M72" i="2"/>
  <c r="N72" i="2"/>
  <c r="M60" i="2"/>
  <c r="N60" i="2"/>
  <c r="M52" i="2"/>
  <c r="N52" i="2"/>
  <c r="M71" i="2"/>
  <c r="N71" i="2"/>
  <c r="M67" i="2"/>
  <c r="N67" i="2"/>
  <c r="M63" i="2"/>
  <c r="N63" i="2"/>
  <c r="M59" i="2"/>
  <c r="N59" i="2"/>
  <c r="M55" i="2"/>
  <c r="G23" i="2" s="1"/>
  <c r="N55" i="2"/>
  <c r="H23" i="2" s="1"/>
  <c r="M51" i="2"/>
  <c r="N51" i="2"/>
  <c r="M64" i="2"/>
  <c r="N64" i="2"/>
  <c r="M70" i="2"/>
  <c r="N70" i="2"/>
  <c r="M66" i="2"/>
  <c r="N66" i="2"/>
  <c r="M62" i="2"/>
  <c r="N62" i="2"/>
  <c r="M58" i="2"/>
  <c r="G26" i="2" s="1"/>
  <c r="N58" i="2"/>
  <c r="H26" i="2" s="1"/>
  <c r="M54" i="2"/>
  <c r="G22" i="2" s="1"/>
  <c r="N54" i="2"/>
  <c r="H22" i="2" s="1"/>
  <c r="M50" i="2"/>
  <c r="M68" i="2"/>
  <c r="N68" i="2"/>
  <c r="M56" i="2"/>
  <c r="N56" i="2"/>
  <c r="M69" i="2"/>
  <c r="N69" i="2"/>
  <c r="M65" i="2"/>
  <c r="N65" i="2"/>
  <c r="M61" i="2"/>
  <c r="N61" i="2"/>
  <c r="M57" i="2"/>
  <c r="G25" i="2" s="1"/>
  <c r="N57" i="2"/>
  <c r="H25" i="2" s="1"/>
  <c r="M53" i="2"/>
  <c r="G21" i="2" s="1"/>
  <c r="N53" i="2"/>
  <c r="H21" i="2" s="1"/>
  <c r="M49" i="2"/>
  <c r="N49" i="2"/>
  <c r="M48" i="2"/>
  <c r="G16" i="2" s="1"/>
  <c r="M16" i="2" s="1"/>
  <c r="L48" i="2"/>
  <c r="F16" i="2" s="1"/>
  <c r="L16" i="2" s="1"/>
  <c r="K72" i="2"/>
  <c r="L72" i="2"/>
  <c r="K60" i="2"/>
  <c r="L60" i="2"/>
  <c r="K52" i="2"/>
  <c r="L52" i="2"/>
  <c r="K71" i="2"/>
  <c r="L71" i="2"/>
  <c r="K67" i="2"/>
  <c r="L67" i="2"/>
  <c r="K63" i="2"/>
  <c r="L63" i="2"/>
  <c r="K59" i="2"/>
  <c r="L59" i="2"/>
  <c r="K55" i="2"/>
  <c r="E23" i="2" s="1"/>
  <c r="L55" i="2"/>
  <c r="F23" i="2" s="1"/>
  <c r="K51" i="2"/>
  <c r="L51" i="2"/>
  <c r="K64" i="2"/>
  <c r="L64" i="2"/>
  <c r="K70" i="2"/>
  <c r="L70" i="2"/>
  <c r="F38" i="2" s="1"/>
  <c r="K66" i="2"/>
  <c r="L66" i="2"/>
  <c r="K62" i="2"/>
  <c r="L62" i="2"/>
  <c r="K58" i="2"/>
  <c r="E26" i="2" s="1"/>
  <c r="L58" i="2"/>
  <c r="F26" i="2" s="1"/>
  <c r="K54" i="2"/>
  <c r="E22" i="2" s="1"/>
  <c r="L54" i="2"/>
  <c r="F22" i="2" s="1"/>
  <c r="K50" i="2"/>
  <c r="L50" i="2"/>
  <c r="K68" i="2"/>
  <c r="L68" i="2"/>
  <c r="K56" i="2"/>
  <c r="L56" i="2"/>
  <c r="K69" i="2"/>
  <c r="L69" i="2"/>
  <c r="K65" i="2"/>
  <c r="L65" i="2"/>
  <c r="K61" i="2"/>
  <c r="L61" i="2"/>
  <c r="K57" i="2"/>
  <c r="E25" i="2" s="1"/>
  <c r="L57" i="2"/>
  <c r="F25" i="2" s="1"/>
  <c r="K53" i="2"/>
  <c r="E21" i="2" s="1"/>
  <c r="L53" i="2"/>
  <c r="F21" i="2" s="1"/>
  <c r="K49" i="2"/>
  <c r="L49" i="2"/>
  <c r="B65" i="1"/>
  <c r="U51" i="1"/>
  <c r="U41" i="1" s="1"/>
  <c r="R48" i="1"/>
  <c r="R50" i="1" s="1"/>
  <c r="L49" i="1"/>
  <c r="L51" i="1" s="1"/>
  <c r="C17" i="2"/>
  <c r="C30" i="2"/>
  <c r="K28" i="1"/>
  <c r="K27" i="1"/>
  <c r="L54" i="1"/>
  <c r="R54" i="1"/>
  <c r="AK48" i="6" l="1"/>
  <c r="AK49" i="6" s="1"/>
  <c r="Q49" i="6" s="1"/>
  <c r="Q50" i="6" s="1"/>
  <c r="Q53" i="6" s="1"/>
  <c r="AJ49" i="6"/>
  <c r="V20" i="2"/>
  <c r="G14" i="4" s="1"/>
  <c r="D14" i="4"/>
  <c r="V19" i="2"/>
  <c r="G13" i="4" s="1"/>
  <c r="D13" i="4"/>
  <c r="D34" i="4"/>
  <c r="V40" i="2"/>
  <c r="G34" i="4" s="1"/>
  <c r="V33" i="2"/>
  <c r="G27" i="4" s="1"/>
  <c r="D27" i="4"/>
  <c r="V27" i="2"/>
  <c r="G21" i="4" s="1"/>
  <c r="D21" i="4"/>
  <c r="D31" i="4"/>
  <c r="V37" i="2"/>
  <c r="G31" i="4" s="1"/>
  <c r="D28" i="4"/>
  <c r="V34" i="2"/>
  <c r="G28" i="4" s="1"/>
  <c r="D22" i="4"/>
  <c r="V28" i="2"/>
  <c r="G22" i="4" s="1"/>
  <c r="D30" i="4"/>
  <c r="V36" i="2"/>
  <c r="G30" i="4" s="1"/>
  <c r="D39" i="2"/>
  <c r="D27" i="3"/>
  <c r="D21" i="3"/>
  <c r="D28" i="3"/>
  <c r="E16" i="2"/>
  <c r="K16" i="2" s="1"/>
  <c r="P48" i="2"/>
  <c r="D31" i="3"/>
  <c r="D22" i="3"/>
  <c r="D14" i="3"/>
  <c r="D34" i="3"/>
  <c r="D29" i="3"/>
  <c r="D30" i="3"/>
  <c r="G20" i="2"/>
  <c r="M20" i="2" s="1"/>
  <c r="I20" i="2"/>
  <c r="O20" i="2" s="1"/>
  <c r="F20" i="2"/>
  <c r="L20" i="2" s="1"/>
  <c r="Q20" i="2"/>
  <c r="F14" i="3" s="1"/>
  <c r="D31" i="2"/>
  <c r="D17" i="2"/>
  <c r="D11" i="4" s="1"/>
  <c r="Q19" i="2"/>
  <c r="F13" i="3" s="1"/>
  <c r="D13" i="3"/>
  <c r="J25" i="2"/>
  <c r="J26" i="2"/>
  <c r="J23" i="2"/>
  <c r="J22" i="2"/>
  <c r="J21" i="2"/>
  <c r="E38" i="2"/>
  <c r="E20" i="2"/>
  <c r="G38" i="2"/>
  <c r="M38" i="2" s="1"/>
  <c r="H38" i="2"/>
  <c r="N38" i="2" s="1"/>
  <c r="L38" i="2"/>
  <c r="H20" i="2"/>
  <c r="N20" i="2" s="1"/>
  <c r="I38" i="2"/>
  <c r="O38" i="2" s="1"/>
  <c r="Q34" i="2"/>
  <c r="F28" i="3" s="1"/>
  <c r="H34" i="2"/>
  <c r="N34" i="2" s="1"/>
  <c r="I34" i="2"/>
  <c r="O34" i="2" s="1"/>
  <c r="G34" i="2"/>
  <c r="M34" i="2" s="1"/>
  <c r="F34" i="2"/>
  <c r="L34" i="2" s="1"/>
  <c r="E34" i="2"/>
  <c r="Q40" i="2"/>
  <c r="F34" i="3" s="1"/>
  <c r="G40" i="2"/>
  <c r="M40" i="2" s="1"/>
  <c r="H40" i="2"/>
  <c r="N40" i="2" s="1"/>
  <c r="E40" i="2"/>
  <c r="K40" i="2" s="1"/>
  <c r="I40" i="2"/>
  <c r="O40" i="2" s="1"/>
  <c r="F40" i="2"/>
  <c r="L40" i="2" s="1"/>
  <c r="Q37" i="2"/>
  <c r="F31" i="3" s="1"/>
  <c r="F37" i="2"/>
  <c r="L37" i="2" s="1"/>
  <c r="I37" i="2"/>
  <c r="O37" i="2" s="1"/>
  <c r="G37" i="2"/>
  <c r="M37" i="2" s="1"/>
  <c r="E37" i="2"/>
  <c r="H37" i="2"/>
  <c r="N37" i="2" s="1"/>
  <c r="Q28" i="2"/>
  <c r="F22" i="3" s="1"/>
  <c r="H28" i="2"/>
  <c r="N28" i="2" s="1"/>
  <c r="G28" i="2"/>
  <c r="M28" i="2" s="1"/>
  <c r="E28" i="2"/>
  <c r="I28" i="2"/>
  <c r="O28" i="2" s="1"/>
  <c r="F28" i="2"/>
  <c r="L28" i="2" s="1"/>
  <c r="Q33" i="2"/>
  <c r="F27" i="3" s="1"/>
  <c r="H33" i="2"/>
  <c r="N33" i="2" s="1"/>
  <c r="G33" i="2"/>
  <c r="M33" i="2" s="1"/>
  <c r="E33" i="2"/>
  <c r="K33" i="2" s="1"/>
  <c r="I33" i="2"/>
  <c r="O33" i="2" s="1"/>
  <c r="F33" i="2"/>
  <c r="L33" i="2" s="1"/>
  <c r="Q35" i="2"/>
  <c r="F29" i="3" s="1"/>
  <c r="G35" i="2"/>
  <c r="M35" i="2" s="1"/>
  <c r="F35" i="2"/>
  <c r="L35" i="2" s="1"/>
  <c r="I35" i="2"/>
  <c r="O35" i="2" s="1"/>
  <c r="E35" i="2"/>
  <c r="H35" i="2"/>
  <c r="N35" i="2" s="1"/>
  <c r="Q36" i="2"/>
  <c r="F30" i="3" s="1"/>
  <c r="F36" i="2"/>
  <c r="L36" i="2" s="1"/>
  <c r="G36" i="2"/>
  <c r="M36" i="2" s="1"/>
  <c r="I36" i="2"/>
  <c r="O36" i="2" s="1"/>
  <c r="E36" i="2"/>
  <c r="K36" i="2" s="1"/>
  <c r="H36" i="2"/>
  <c r="N36" i="2" s="1"/>
  <c r="Q27" i="2"/>
  <c r="F21" i="3" s="1"/>
  <c r="E27" i="2"/>
  <c r="K27" i="2" s="1"/>
  <c r="I27" i="2"/>
  <c r="O27" i="2" s="1"/>
  <c r="F27" i="2"/>
  <c r="L27" i="2" s="1"/>
  <c r="G27" i="2"/>
  <c r="M27" i="2" s="1"/>
  <c r="H27" i="2"/>
  <c r="N27" i="2" s="1"/>
  <c r="H19" i="2"/>
  <c r="N19" i="2" s="1"/>
  <c r="I19" i="2"/>
  <c r="O19" i="2" s="1"/>
  <c r="G19" i="2"/>
  <c r="M19" i="2" s="1"/>
  <c r="E19" i="2"/>
  <c r="K19" i="2" s="1"/>
  <c r="F19" i="2"/>
  <c r="L19" i="2" s="1"/>
  <c r="U53" i="1"/>
  <c r="K31" i="1"/>
  <c r="K21" i="1" s="1"/>
  <c r="Q22" i="2"/>
  <c r="F16" i="3" s="1"/>
  <c r="Q23" i="2"/>
  <c r="F17" i="3" s="1"/>
  <c r="D30" i="2"/>
  <c r="P54" i="2"/>
  <c r="P62" i="2"/>
  <c r="P70" i="2"/>
  <c r="P56" i="2"/>
  <c r="P64" i="2"/>
  <c r="P55" i="2"/>
  <c r="P63" i="2"/>
  <c r="P71" i="2"/>
  <c r="P60" i="2"/>
  <c r="P53" i="2"/>
  <c r="P61" i="2"/>
  <c r="P69" i="2"/>
  <c r="P50" i="2"/>
  <c r="P58" i="2"/>
  <c r="P66" i="2"/>
  <c r="P68" i="2"/>
  <c r="P51" i="2"/>
  <c r="P59" i="2"/>
  <c r="P67" i="2"/>
  <c r="P52" i="2"/>
  <c r="P72" i="2"/>
  <c r="P49" i="2"/>
  <c r="P57" i="2"/>
  <c r="P65" i="2"/>
  <c r="C32" i="2"/>
  <c r="F19" i="3"/>
  <c r="K11" i="1"/>
  <c r="K10" i="1"/>
  <c r="K8" i="1"/>
  <c r="K7" i="1"/>
  <c r="U54" i="1"/>
  <c r="V30" i="2" l="1"/>
  <c r="G24" i="4" s="1"/>
  <c r="D24" i="4"/>
  <c r="F17" i="2"/>
  <c r="L17" i="2" s="1"/>
  <c r="V17" i="2"/>
  <c r="G11" i="4" s="1"/>
  <c r="V31" i="2"/>
  <c r="G25" i="4" s="1"/>
  <c r="D25" i="4"/>
  <c r="F39" i="2"/>
  <c r="L39" i="2" s="1"/>
  <c r="D33" i="4"/>
  <c r="J16" i="2"/>
  <c r="I39" i="2"/>
  <c r="O39" i="2" s="1"/>
  <c r="G39" i="2"/>
  <c r="M39" i="2" s="1"/>
  <c r="H39" i="2"/>
  <c r="N39" i="2" s="1"/>
  <c r="D33" i="3"/>
  <c r="E39" i="2"/>
  <c r="Q39" i="2"/>
  <c r="F33" i="3" s="1"/>
  <c r="D24" i="3"/>
  <c r="D25" i="3"/>
  <c r="G31" i="2"/>
  <c r="M31" i="2" s="1"/>
  <c r="Q31" i="2"/>
  <c r="F25" i="3" s="1"/>
  <c r="D11" i="3"/>
  <c r="H17" i="2"/>
  <c r="N17" i="2" s="1"/>
  <c r="G17" i="2"/>
  <c r="M17" i="2" s="1"/>
  <c r="I17" i="2"/>
  <c r="O17" i="2" s="1"/>
  <c r="Q17" i="2"/>
  <c r="F11" i="3" s="1"/>
  <c r="E17" i="2"/>
  <c r="F31" i="2"/>
  <c r="L31" i="2" s="1"/>
  <c r="I31" i="2"/>
  <c r="O31" i="2" s="1"/>
  <c r="H31" i="2"/>
  <c r="N31" i="2" s="1"/>
  <c r="E31" i="2"/>
  <c r="P40" i="2"/>
  <c r="J35" i="2"/>
  <c r="J28" i="2"/>
  <c r="J40" i="2"/>
  <c r="K28" i="2"/>
  <c r="K35" i="2"/>
  <c r="J20" i="2"/>
  <c r="J19" i="2"/>
  <c r="J36" i="2"/>
  <c r="J38" i="2"/>
  <c r="J27" i="2"/>
  <c r="J33" i="2"/>
  <c r="K20" i="2"/>
  <c r="K37" i="2"/>
  <c r="J37" i="2"/>
  <c r="K34" i="2"/>
  <c r="J34" i="2"/>
  <c r="K38" i="2"/>
  <c r="Q30" i="2"/>
  <c r="F24" i="3" s="1"/>
  <c r="F30" i="2"/>
  <c r="L30" i="2" s="1"/>
  <c r="I30" i="2"/>
  <c r="O30" i="2" s="1"/>
  <c r="G30" i="2"/>
  <c r="M30" i="2" s="1"/>
  <c r="H30" i="2"/>
  <c r="N30" i="2" s="1"/>
  <c r="E30" i="2"/>
  <c r="C24" i="2"/>
  <c r="K33" i="1"/>
  <c r="K13" i="1"/>
  <c r="K16" i="1" s="1"/>
  <c r="C29" i="2"/>
  <c r="M22" i="2"/>
  <c r="L22" i="2"/>
  <c r="O22" i="2"/>
  <c r="K22" i="2"/>
  <c r="N22" i="2"/>
  <c r="O16" i="2"/>
  <c r="N16" i="2"/>
  <c r="L23" i="2"/>
  <c r="O23" i="2"/>
  <c r="K23" i="2"/>
  <c r="N23" i="2"/>
  <c r="M23" i="2"/>
  <c r="M26" i="2"/>
  <c r="L26" i="2"/>
  <c r="O26" i="2"/>
  <c r="K26" i="2"/>
  <c r="N26" i="2"/>
  <c r="D18" i="2"/>
  <c r="D32" i="2"/>
  <c r="Q21" i="2"/>
  <c r="F15" i="3" s="1"/>
  <c r="K34" i="1"/>
  <c r="K18" i="1"/>
  <c r="V18" i="2" l="1"/>
  <c r="G12" i="4" s="1"/>
  <c r="D12" i="4"/>
  <c r="D26" i="4"/>
  <c r="V32" i="2"/>
  <c r="G26" i="4" s="1"/>
  <c r="E34" i="4"/>
  <c r="W40" i="2"/>
  <c r="X40" i="2" s="1"/>
  <c r="J39" i="2"/>
  <c r="K39" i="2"/>
  <c r="D26" i="3"/>
  <c r="D12" i="3"/>
  <c r="J17" i="2"/>
  <c r="J31" i="2"/>
  <c r="K17" i="2"/>
  <c r="K31" i="2"/>
  <c r="D24" i="2"/>
  <c r="D18" i="4" s="1"/>
  <c r="D29" i="2"/>
  <c r="P16" i="2"/>
  <c r="J30" i="2"/>
  <c r="K30" i="2"/>
  <c r="Q32" i="2"/>
  <c r="F26" i="3" s="1"/>
  <c r="I32" i="2"/>
  <c r="O32" i="2" s="1"/>
  <c r="E32" i="2"/>
  <c r="K32" i="2" s="1"/>
  <c r="F32" i="2"/>
  <c r="L32" i="2" s="1"/>
  <c r="H32" i="2"/>
  <c r="N32" i="2" s="1"/>
  <c r="G32" i="2"/>
  <c r="M32" i="2" s="1"/>
  <c r="Q18" i="2"/>
  <c r="F12" i="3" s="1"/>
  <c r="E18" i="2"/>
  <c r="K18" i="2" s="1"/>
  <c r="I18" i="2"/>
  <c r="O18" i="2" s="1"/>
  <c r="F18" i="2"/>
  <c r="L18" i="2" s="1"/>
  <c r="G18" i="2"/>
  <c r="M18" i="2" s="1"/>
  <c r="H18" i="2"/>
  <c r="N18" i="2" s="1"/>
  <c r="N21" i="2"/>
  <c r="M21" i="2"/>
  <c r="L21" i="2"/>
  <c r="O21" i="2"/>
  <c r="K21" i="2"/>
  <c r="N25" i="2"/>
  <c r="M25" i="2"/>
  <c r="L25" i="2"/>
  <c r="O25" i="2"/>
  <c r="K25" i="2"/>
  <c r="W16" i="2" l="1"/>
  <c r="X16" i="2" s="1"/>
  <c r="I10" i="4" s="1"/>
  <c r="E10" i="4"/>
  <c r="H29" i="2"/>
  <c r="N29" i="2" s="1"/>
  <c r="D23" i="4"/>
  <c r="V29" i="2"/>
  <c r="G23" i="4" s="1"/>
  <c r="G24" i="2"/>
  <c r="M24" i="2" s="1"/>
  <c r="V24" i="2"/>
  <c r="G18" i="4" s="1"/>
  <c r="E29" i="2"/>
  <c r="K29" i="2" s="1"/>
  <c r="Q29" i="2"/>
  <c r="F23" i="3" s="1"/>
  <c r="E24" i="2"/>
  <c r="K24" i="2" s="1"/>
  <c r="D23" i="3"/>
  <c r="D18" i="3"/>
  <c r="H34" i="4"/>
  <c r="F24" i="2"/>
  <c r="L24" i="2" s="1"/>
  <c r="I29" i="2"/>
  <c r="O29" i="2" s="1"/>
  <c r="G29" i="2"/>
  <c r="M29" i="2" s="1"/>
  <c r="H24" i="2"/>
  <c r="N24" i="2" s="1"/>
  <c r="Q24" i="2"/>
  <c r="F18" i="3" s="1"/>
  <c r="F29" i="2"/>
  <c r="L29" i="2" s="1"/>
  <c r="I24" i="2"/>
  <c r="O24" i="2" s="1"/>
  <c r="E10" i="3"/>
  <c r="G10" i="3" s="1"/>
  <c r="R16" i="2"/>
  <c r="T16" i="2" s="1"/>
  <c r="J18" i="2"/>
  <c r="J32" i="2"/>
  <c r="P30" i="2"/>
  <c r="P22" i="2"/>
  <c r="P31" i="2"/>
  <c r="P36" i="2"/>
  <c r="P20" i="2"/>
  <c r="P34" i="2"/>
  <c r="P37" i="2"/>
  <c r="P26" i="2"/>
  <c r="P19" i="2"/>
  <c r="P35" i="2"/>
  <c r="P27" i="2"/>
  <c r="P17" i="2"/>
  <c r="P33" i="2"/>
  <c r="P39" i="2"/>
  <c r="P38" i="2"/>
  <c r="W19" i="2" l="1"/>
  <c r="X19" i="2" s="1"/>
  <c r="E13" i="4"/>
  <c r="W22" i="2"/>
  <c r="H16" i="4" s="1"/>
  <c r="E16" i="4"/>
  <c r="W17" i="2"/>
  <c r="H11" i="4" s="1"/>
  <c r="E11" i="4"/>
  <c r="W20" i="2"/>
  <c r="X20" i="2" s="1"/>
  <c r="E14" i="4"/>
  <c r="E32" i="4"/>
  <c r="W38" i="2"/>
  <c r="X38" i="2" s="1"/>
  <c r="W39" i="2"/>
  <c r="X39" i="2" s="1"/>
  <c r="E33" i="4"/>
  <c r="E27" i="4"/>
  <c r="W33" i="2"/>
  <c r="X33" i="2" s="1"/>
  <c r="E21" i="4"/>
  <c r="W27" i="2"/>
  <c r="X27" i="2" s="1"/>
  <c r="AA25" i="2" s="1"/>
  <c r="E29" i="4"/>
  <c r="W35" i="2"/>
  <c r="X35" i="2" s="1"/>
  <c r="E20" i="4"/>
  <c r="W26" i="2"/>
  <c r="X26" i="2" s="1"/>
  <c r="AA22" i="2" s="1"/>
  <c r="E31" i="4"/>
  <c r="W37" i="2"/>
  <c r="X37" i="2" s="1"/>
  <c r="E28" i="4"/>
  <c r="W34" i="2"/>
  <c r="X34" i="2" s="1"/>
  <c r="E30" i="4"/>
  <c r="W36" i="2"/>
  <c r="X36" i="2" s="1"/>
  <c r="E25" i="4"/>
  <c r="W31" i="2"/>
  <c r="X31" i="2" s="1"/>
  <c r="E24" i="4"/>
  <c r="W30" i="2"/>
  <c r="X30" i="2" s="1"/>
  <c r="H10" i="3"/>
  <c r="I34" i="4"/>
  <c r="H10" i="4"/>
  <c r="E14" i="3"/>
  <c r="G14" i="3" s="1"/>
  <c r="J29" i="2"/>
  <c r="J24" i="2"/>
  <c r="R27" i="2"/>
  <c r="T27" i="2" s="1"/>
  <c r="E21" i="3"/>
  <c r="G21" i="3" s="1"/>
  <c r="R35" i="2"/>
  <c r="T35" i="2" s="1"/>
  <c r="E29" i="3"/>
  <c r="G29" i="3" s="1"/>
  <c r="R22" i="2"/>
  <c r="T22" i="2" s="1"/>
  <c r="E16" i="3"/>
  <c r="G16" i="3" s="1"/>
  <c r="R30" i="2"/>
  <c r="T30" i="2" s="1"/>
  <c r="E24" i="3"/>
  <c r="G24" i="3" s="1"/>
  <c r="R38" i="2"/>
  <c r="T38" i="2" s="1"/>
  <c r="E32" i="3"/>
  <c r="G32" i="3" s="1"/>
  <c r="R37" i="2"/>
  <c r="T37" i="2" s="1"/>
  <c r="E31" i="3"/>
  <c r="G31" i="3" s="1"/>
  <c r="R31" i="2"/>
  <c r="T31" i="2" s="1"/>
  <c r="E25" i="3"/>
  <c r="G25" i="3" s="1"/>
  <c r="R39" i="2"/>
  <c r="T39" i="2" s="1"/>
  <c r="E33" i="3"/>
  <c r="G33" i="3" s="1"/>
  <c r="R34" i="2"/>
  <c r="T34" i="2" s="1"/>
  <c r="E28" i="3"/>
  <c r="G28" i="3" s="1"/>
  <c r="R33" i="2"/>
  <c r="T33" i="2" s="1"/>
  <c r="E27" i="3"/>
  <c r="G27" i="3" s="1"/>
  <c r="R19" i="2"/>
  <c r="T19" i="2" s="1"/>
  <c r="E13" i="3"/>
  <c r="G13" i="3" s="1"/>
  <c r="R40" i="2"/>
  <c r="T40" i="2" s="1"/>
  <c r="E34" i="3"/>
  <c r="G34" i="3" s="1"/>
  <c r="R17" i="2"/>
  <c r="T17" i="2" s="1"/>
  <c r="E11" i="3"/>
  <c r="G11" i="3" s="1"/>
  <c r="R26" i="2"/>
  <c r="T26" i="2" s="1"/>
  <c r="E20" i="3"/>
  <c r="G20" i="3" s="1"/>
  <c r="R36" i="2"/>
  <c r="T36" i="2" s="1"/>
  <c r="E30" i="3"/>
  <c r="G30" i="3" s="1"/>
  <c r="P23" i="2"/>
  <c r="P28" i="2"/>
  <c r="R20" i="2"/>
  <c r="T20" i="2" s="1"/>
  <c r="P21" i="2"/>
  <c r="E15" i="4" s="1"/>
  <c r="P18" i="2"/>
  <c r="X17" i="2" l="1"/>
  <c r="W21" i="2"/>
  <c r="X21" i="2" s="1"/>
  <c r="W18" i="2"/>
  <c r="X18" i="2" s="1"/>
  <c r="E12" i="4"/>
  <c r="W23" i="2"/>
  <c r="X23" i="2" s="1"/>
  <c r="AA24" i="2" s="1"/>
  <c r="E17" i="4"/>
  <c r="X22" i="2"/>
  <c r="E22" i="4"/>
  <c r="W28" i="2"/>
  <c r="X28" i="2" s="1"/>
  <c r="AA23" i="2" s="1"/>
  <c r="H25" i="4"/>
  <c r="H21" i="4"/>
  <c r="H30" i="4"/>
  <c r="H27" i="4"/>
  <c r="H20" i="4"/>
  <c r="H24" i="4"/>
  <c r="H29" i="4"/>
  <c r="I14" i="4"/>
  <c r="H14" i="4"/>
  <c r="H31" i="4"/>
  <c r="H32" i="4"/>
  <c r="H28" i="4"/>
  <c r="H13" i="4"/>
  <c r="H33" i="4"/>
  <c r="H20" i="3"/>
  <c r="H27" i="3"/>
  <c r="H33" i="3"/>
  <c r="H31" i="3"/>
  <c r="H24" i="3"/>
  <c r="H29" i="3"/>
  <c r="H14" i="3"/>
  <c r="H30" i="3"/>
  <c r="H11" i="3"/>
  <c r="H13" i="3"/>
  <c r="H28" i="3"/>
  <c r="H25" i="3"/>
  <c r="H32" i="3"/>
  <c r="H16" i="3"/>
  <c r="H21" i="3"/>
  <c r="H34" i="3"/>
  <c r="R18" i="2"/>
  <c r="T18" i="2" s="1"/>
  <c r="E12" i="3"/>
  <c r="G12" i="3" s="1"/>
  <c r="R21" i="2"/>
  <c r="T21" i="2" s="1"/>
  <c r="E15" i="3"/>
  <c r="G15" i="3" s="1"/>
  <c r="R28" i="2"/>
  <c r="T28" i="2" s="1"/>
  <c r="E22" i="3"/>
  <c r="G22" i="3" s="1"/>
  <c r="R23" i="2"/>
  <c r="T23" i="2" s="1"/>
  <c r="E17" i="3"/>
  <c r="G17" i="3" s="1"/>
  <c r="P29" i="2"/>
  <c r="E23" i="4" l="1"/>
  <c r="W29" i="2"/>
  <c r="X29" i="2" s="1"/>
  <c r="I11" i="4"/>
  <c r="H17" i="4"/>
  <c r="I29" i="4"/>
  <c r="I27" i="4"/>
  <c r="I21" i="4"/>
  <c r="I33" i="4"/>
  <c r="I31" i="4"/>
  <c r="I13" i="4"/>
  <c r="I16" i="4"/>
  <c r="I32" i="4"/>
  <c r="I28" i="4"/>
  <c r="H12" i="4"/>
  <c r="H15" i="4"/>
  <c r="H22" i="4"/>
  <c r="I24" i="4"/>
  <c r="I20" i="4"/>
  <c r="I30" i="4"/>
  <c r="I25" i="4"/>
  <c r="H22" i="3"/>
  <c r="H12" i="3"/>
  <c r="H17" i="3"/>
  <c r="H15" i="3"/>
  <c r="R29" i="2"/>
  <c r="T29" i="2" s="1"/>
  <c r="E23" i="3"/>
  <c r="G23" i="3" s="1"/>
  <c r="P25" i="2"/>
  <c r="P24" i="2"/>
  <c r="P32" i="2"/>
  <c r="W24" i="2" l="1"/>
  <c r="X24" i="2" s="1"/>
  <c r="E18" i="4"/>
  <c r="W25" i="2"/>
  <c r="E19" i="4"/>
  <c r="E26" i="4"/>
  <c r="W32" i="2"/>
  <c r="X32" i="2" s="1"/>
  <c r="I22" i="4"/>
  <c r="I12" i="4"/>
  <c r="H23" i="4"/>
  <c r="I17" i="4"/>
  <c r="I15" i="4"/>
  <c r="E19" i="3"/>
  <c r="G19" i="3" s="1"/>
  <c r="H23" i="3"/>
  <c r="R24" i="2"/>
  <c r="T24" i="2" s="1"/>
  <c r="E18" i="3"/>
  <c r="G18" i="3" s="1"/>
  <c r="R32" i="2"/>
  <c r="T32" i="2" s="1"/>
  <c r="E26" i="3"/>
  <c r="G26" i="3" s="1"/>
  <c r="R25" i="2"/>
  <c r="T25" i="2" s="1"/>
  <c r="E36" i="1"/>
  <c r="E37" i="1"/>
  <c r="I18" i="4" l="1"/>
  <c r="AA21" i="2"/>
  <c r="X25" i="2"/>
  <c r="H19" i="4"/>
  <c r="H18" i="4"/>
  <c r="I23" i="4"/>
  <c r="H26" i="4"/>
  <c r="H26" i="3"/>
  <c r="H19" i="3"/>
  <c r="H18" i="3"/>
  <c r="I19" i="4" l="1"/>
  <c r="I26" i="4"/>
</calcChain>
</file>

<file path=xl/sharedStrings.xml><?xml version="1.0" encoding="utf-8"?>
<sst xmlns="http://schemas.openxmlformats.org/spreadsheetml/2006/main" count="567" uniqueCount="296">
  <si>
    <t>-</t>
    <phoneticPr fontId="2" type="noConversion"/>
  </si>
  <si>
    <t>control</t>
  </si>
  <si>
    <t>-</t>
    <phoneticPr fontId="4" type="noConversion"/>
  </si>
  <si>
    <r>
      <rPr>
        <sz val="11"/>
        <color theme="1"/>
        <rFont val="楷体"/>
        <family val="3"/>
        <charset val="134"/>
      </rPr>
      <t>分类</t>
    </r>
  </si>
  <si>
    <r>
      <rPr>
        <sz val="11"/>
        <color theme="1"/>
        <rFont val="楷体"/>
        <family val="3"/>
        <charset val="134"/>
      </rPr>
      <t>不良贷款拨备计提指导标准</t>
    </r>
  </si>
  <si>
    <r>
      <rPr>
        <sz val="11"/>
        <color theme="1"/>
        <rFont val="楷体"/>
        <family val="3"/>
        <charset val="134"/>
      </rPr>
      <t>国有行</t>
    </r>
    <phoneticPr fontId="1" type="noConversion"/>
  </si>
  <si>
    <r>
      <rPr>
        <sz val="11"/>
        <color theme="1"/>
        <rFont val="楷体"/>
        <family val="3"/>
        <charset val="134"/>
      </rPr>
      <t>正常</t>
    </r>
  </si>
  <si>
    <r>
      <rPr>
        <sz val="11"/>
        <color theme="1"/>
        <rFont val="楷体"/>
        <family val="3"/>
        <charset val="134"/>
      </rPr>
      <t>关注</t>
    </r>
  </si>
  <si>
    <r>
      <rPr>
        <sz val="11"/>
        <color theme="1"/>
        <rFont val="楷体"/>
        <family val="3"/>
        <charset val="134"/>
      </rPr>
      <t>城商行</t>
    </r>
    <phoneticPr fontId="1" type="noConversion"/>
  </si>
  <si>
    <r>
      <rPr>
        <sz val="11"/>
        <color theme="1"/>
        <rFont val="楷体"/>
        <family val="3"/>
        <charset val="134"/>
      </rPr>
      <t>次级</t>
    </r>
  </si>
  <si>
    <r>
      <rPr>
        <sz val="11"/>
        <color theme="1"/>
        <rFont val="楷体"/>
        <family val="3"/>
        <charset val="134"/>
      </rPr>
      <t>农商行</t>
    </r>
    <phoneticPr fontId="1" type="noConversion"/>
  </si>
  <si>
    <r>
      <rPr>
        <sz val="11"/>
        <color theme="1"/>
        <rFont val="楷体"/>
        <family val="3"/>
        <charset val="134"/>
      </rPr>
      <t>可疑</t>
    </r>
  </si>
  <si>
    <r>
      <rPr>
        <sz val="11"/>
        <color theme="1"/>
        <rFont val="楷体"/>
        <family val="3"/>
        <charset val="134"/>
      </rPr>
      <t>损失</t>
    </r>
  </si>
  <si>
    <r>
      <rPr>
        <sz val="11"/>
        <color theme="1"/>
        <rFont val="楷体"/>
        <family val="3"/>
        <charset val="134"/>
      </rPr>
      <t>正常</t>
    </r>
    <phoneticPr fontId="1" type="noConversion"/>
  </si>
  <si>
    <r>
      <rPr>
        <sz val="11"/>
        <color theme="1"/>
        <rFont val="楷体"/>
        <family val="3"/>
        <charset val="134"/>
      </rPr>
      <t>建设银行</t>
    </r>
  </si>
  <si>
    <r>
      <rPr>
        <sz val="11"/>
        <color theme="1"/>
        <rFont val="楷体"/>
        <family val="3"/>
        <charset val="134"/>
      </rPr>
      <t>农业银行</t>
    </r>
  </si>
  <si>
    <r>
      <rPr>
        <sz val="11"/>
        <color theme="1"/>
        <rFont val="楷体"/>
        <family val="3"/>
        <charset val="134"/>
      </rPr>
      <t>中国银行</t>
    </r>
  </si>
  <si>
    <r>
      <rPr>
        <sz val="11"/>
        <color theme="1"/>
        <rFont val="楷体"/>
        <family val="3"/>
        <charset val="134"/>
      </rPr>
      <t>交通银行</t>
    </r>
  </si>
  <si>
    <r>
      <rPr>
        <sz val="11"/>
        <color theme="1"/>
        <rFont val="楷体"/>
        <family val="3"/>
        <charset val="134"/>
      </rPr>
      <t>招商银行</t>
    </r>
  </si>
  <si>
    <r>
      <rPr>
        <sz val="11"/>
        <color theme="1"/>
        <rFont val="楷体"/>
        <family val="3"/>
        <charset val="134"/>
      </rPr>
      <t>中信银行</t>
    </r>
  </si>
  <si>
    <r>
      <rPr>
        <sz val="11"/>
        <color theme="1"/>
        <rFont val="楷体"/>
        <family val="3"/>
        <charset val="134"/>
      </rPr>
      <t>浦发银行</t>
    </r>
  </si>
  <si>
    <r>
      <rPr>
        <sz val="11"/>
        <color theme="1"/>
        <rFont val="楷体"/>
        <family val="3"/>
        <charset val="134"/>
      </rPr>
      <t>民生银行</t>
    </r>
  </si>
  <si>
    <r>
      <rPr>
        <sz val="11"/>
        <color theme="1"/>
        <rFont val="楷体"/>
        <family val="3"/>
        <charset val="134"/>
      </rPr>
      <t>兴业银行</t>
    </r>
  </si>
  <si>
    <r>
      <rPr>
        <sz val="11"/>
        <color theme="1"/>
        <rFont val="楷体"/>
        <family val="3"/>
        <charset val="134"/>
      </rPr>
      <t>光大银行</t>
    </r>
  </si>
  <si>
    <r>
      <rPr>
        <sz val="11"/>
        <color theme="1"/>
        <rFont val="楷体"/>
        <family val="3"/>
        <charset val="134"/>
      </rPr>
      <t>华夏银行</t>
    </r>
  </si>
  <si>
    <r>
      <rPr>
        <sz val="11"/>
        <color theme="1"/>
        <rFont val="楷体"/>
        <family val="3"/>
        <charset val="134"/>
      </rPr>
      <t>平安银行</t>
    </r>
  </si>
  <si>
    <r>
      <rPr>
        <sz val="11"/>
        <color theme="1"/>
        <rFont val="楷体"/>
        <family val="3"/>
        <charset val="134"/>
      </rPr>
      <t>北京银行</t>
    </r>
  </si>
  <si>
    <r>
      <rPr>
        <sz val="11"/>
        <color theme="1"/>
        <rFont val="楷体"/>
        <family val="3"/>
        <charset val="134"/>
      </rPr>
      <t>南京银行</t>
    </r>
  </si>
  <si>
    <r>
      <rPr>
        <sz val="11"/>
        <color theme="1"/>
        <rFont val="楷体"/>
        <family val="3"/>
        <charset val="134"/>
      </rPr>
      <t>宁波银行</t>
    </r>
  </si>
  <si>
    <r>
      <rPr>
        <sz val="11"/>
        <color theme="1"/>
        <rFont val="楷体"/>
        <family val="3"/>
        <charset val="134"/>
      </rPr>
      <t>上海银行</t>
    </r>
  </si>
  <si>
    <r>
      <rPr>
        <sz val="11"/>
        <color theme="1"/>
        <rFont val="楷体"/>
        <family val="3"/>
        <charset val="134"/>
      </rPr>
      <t>贵阳银行</t>
    </r>
  </si>
  <si>
    <r>
      <rPr>
        <sz val="11"/>
        <color theme="1"/>
        <rFont val="楷体"/>
        <family val="3"/>
        <charset val="134"/>
      </rPr>
      <t>杭州银行</t>
    </r>
  </si>
  <si>
    <r>
      <rPr>
        <sz val="11"/>
        <color theme="1"/>
        <rFont val="楷体"/>
        <family val="3"/>
        <charset val="134"/>
      </rPr>
      <t>江苏银行</t>
    </r>
  </si>
  <si>
    <r>
      <rPr>
        <sz val="11"/>
        <color theme="1"/>
        <rFont val="楷体"/>
        <family val="3"/>
        <charset val="134"/>
      </rPr>
      <t>无锡银行</t>
    </r>
  </si>
  <si>
    <r>
      <rPr>
        <sz val="11"/>
        <color theme="1"/>
        <rFont val="楷体"/>
        <family val="3"/>
        <charset val="134"/>
      </rPr>
      <t>常熟银行</t>
    </r>
  </si>
  <si>
    <r>
      <rPr>
        <sz val="11"/>
        <color theme="1"/>
        <rFont val="楷体"/>
        <family val="3"/>
        <charset val="134"/>
      </rPr>
      <t>江阴银行</t>
    </r>
  </si>
  <si>
    <r>
      <rPr>
        <sz val="11"/>
        <color theme="1"/>
        <rFont val="楷体"/>
        <family val="3"/>
        <charset val="134"/>
      </rPr>
      <t>吴江银行</t>
    </r>
  </si>
  <si>
    <r>
      <rPr>
        <sz val="11"/>
        <color theme="1"/>
        <rFont val="楷体"/>
        <family val="3"/>
        <charset val="134"/>
      </rPr>
      <t>张家港行</t>
    </r>
  </si>
  <si>
    <r>
      <rPr>
        <sz val="18"/>
        <color theme="1"/>
        <rFont val="楷体"/>
        <family val="3"/>
        <charset val="134"/>
      </rPr>
      <t>假设</t>
    </r>
    <phoneticPr fontId="1" type="noConversion"/>
  </si>
  <si>
    <r>
      <rPr>
        <sz val="11"/>
        <color theme="1"/>
        <rFont val="楷体"/>
        <family val="3"/>
        <charset val="134"/>
      </rPr>
      <t>股份行</t>
    </r>
    <phoneticPr fontId="1" type="noConversion"/>
  </si>
  <si>
    <r>
      <rPr>
        <sz val="11"/>
        <color theme="1"/>
        <rFont val="楷体"/>
        <family val="3"/>
        <charset val="134"/>
      </rPr>
      <t>单位：亿元</t>
    </r>
    <phoneticPr fontId="1" type="noConversion"/>
  </si>
  <si>
    <r>
      <rPr>
        <sz val="11"/>
        <color theme="1"/>
        <rFont val="楷体"/>
        <family val="3"/>
        <charset val="134"/>
      </rPr>
      <t>银行</t>
    </r>
    <phoneticPr fontId="1" type="noConversion"/>
  </si>
  <si>
    <r>
      <rPr>
        <sz val="11"/>
        <color theme="1"/>
        <rFont val="楷体"/>
        <family val="3"/>
        <charset val="134"/>
      </rPr>
      <t>工商银行</t>
    </r>
    <phoneticPr fontId="1" type="noConversion"/>
  </si>
  <si>
    <r>
      <rPr>
        <sz val="11"/>
        <color theme="1"/>
        <rFont val="楷体"/>
        <family val="3"/>
        <charset val="134"/>
      </rPr>
      <t>股份行</t>
    </r>
    <phoneticPr fontId="1" type="noConversion"/>
  </si>
  <si>
    <r>
      <rPr>
        <sz val="11"/>
        <color theme="1"/>
        <rFont val="楷体"/>
        <family val="3"/>
        <charset val="134"/>
      </rPr>
      <t>农商行</t>
    </r>
    <phoneticPr fontId="1" type="noConversion"/>
  </si>
  <si>
    <r>
      <rPr>
        <sz val="11"/>
        <color theme="1"/>
        <rFont val="楷体"/>
        <family val="3"/>
        <charset val="134"/>
      </rPr>
      <t>数据源</t>
    </r>
    <phoneticPr fontId="1" type="noConversion"/>
  </si>
  <si>
    <r>
      <rPr>
        <sz val="11"/>
        <color theme="1"/>
        <rFont val="楷体"/>
        <family val="3"/>
        <charset val="134"/>
      </rPr>
      <t>单位</t>
    </r>
    <r>
      <rPr>
        <sz val="11"/>
        <color theme="1"/>
        <rFont val="Times New Roman"/>
        <family val="1"/>
      </rPr>
      <t>:</t>
    </r>
    <r>
      <rPr>
        <sz val="11"/>
        <color theme="1"/>
        <rFont val="楷体"/>
        <family val="3"/>
        <charset val="134"/>
      </rPr>
      <t>亿元</t>
    </r>
    <phoneticPr fontId="1" type="noConversion"/>
  </si>
  <si>
    <r>
      <rPr>
        <sz val="11"/>
        <color theme="1"/>
        <rFont val="楷体"/>
        <family val="3"/>
        <charset val="134"/>
      </rPr>
      <t>占比</t>
    </r>
    <phoneticPr fontId="1" type="noConversion"/>
  </si>
  <si>
    <r>
      <rPr>
        <sz val="11"/>
        <color theme="1"/>
        <rFont val="楷体"/>
        <family val="3"/>
        <charset val="134"/>
      </rPr>
      <t>五级分类</t>
    </r>
    <phoneticPr fontId="1" type="noConversion"/>
  </si>
  <si>
    <r>
      <rPr>
        <sz val="11"/>
        <color theme="1"/>
        <rFont val="楷体"/>
        <family val="3"/>
        <charset val="134"/>
      </rPr>
      <t>贷款总额</t>
    </r>
    <phoneticPr fontId="1" type="noConversion"/>
  </si>
  <si>
    <r>
      <rPr>
        <sz val="11"/>
        <color theme="1"/>
        <rFont val="楷体"/>
        <family val="3"/>
        <charset val="134"/>
      </rPr>
      <t>正常</t>
    </r>
    <phoneticPr fontId="1" type="noConversion"/>
  </si>
  <si>
    <t>2017H</t>
  </si>
  <si>
    <t>城商行</t>
    <phoneticPr fontId="1" type="noConversion"/>
  </si>
  <si>
    <t>contrl</t>
    <phoneticPr fontId="1" type="noConversion"/>
  </si>
  <si>
    <t>-</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</si>
  <si>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</si>
  <si>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</si>
  <si>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</si>
  <si>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</si>
  <si>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</si>
  <si>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t>
    <phoneticPr fontId="1" type="noConversion"/>
  </si>
  <si>
    <t>contrl</t>
    <phoneticPr fontId="1" type="noConversion"/>
  </si>
  <si>
    <t>contrl</t>
    <phoneticPr fontId="1" type="noConversion"/>
  </si>
  <si>
    <t>注：招商、中信、兴业中报中列示应收款项类细分科目信贷类资产余额，故直接使用，其余采用一定比例假设计算得到</t>
    <phoneticPr fontId="1" type="noConversion"/>
  </si>
  <si>
    <t>江苏、江阴、吴江银行无信托资管或其他类非标投资</t>
    <phoneticPr fontId="1" type="noConversion"/>
  </si>
  <si>
    <t>信托、资管等及其他类非标资产</t>
    <phoneticPr fontId="1" type="noConversion"/>
  </si>
  <si>
    <t>分类计提结果</t>
    <phoneticPr fontId="1" type="noConversion"/>
  </si>
  <si>
    <r>
      <rPr>
        <sz val="11"/>
        <color theme="1"/>
        <rFont val="楷体"/>
        <family val="3"/>
        <charset val="134"/>
      </rPr>
      <t>假设以</t>
    </r>
    <r>
      <rPr>
        <sz val="11"/>
        <color theme="1"/>
        <rFont val="Times New Roman"/>
        <family val="1"/>
      </rPr>
      <t>1.5%</t>
    </r>
    <r>
      <rPr>
        <sz val="11"/>
        <color theme="1"/>
        <rFont val="楷体"/>
        <family val="3"/>
        <charset val="134"/>
      </rPr>
      <t>计提结果</t>
    </r>
    <phoneticPr fontId="1" type="noConversion"/>
  </si>
  <si>
    <t>信贷类非标投资五级分类</t>
    <phoneticPr fontId="1" type="noConversion"/>
  </si>
  <si>
    <t xml:space="preserve"> </t>
    <phoneticPr fontId="1" type="noConversion"/>
  </si>
  <si>
    <t>contrl</t>
    <phoneticPr fontId="1" type="noConversion"/>
  </si>
  <si>
    <t>信贷类非标投资资产E</t>
    <phoneticPr fontId="1" type="noConversion"/>
  </si>
  <si>
    <t>测算原理：目前银监会对商业银行应收款项类投资中的信贷类非标投资部分计提减值准备未有明确规定，各家银行实际计提标准或有所差异。我们将25家上市银行应收款项中信贷类非标投资部分按照贷款余额中的五级分类比例进行划分，并按照不同比例相应计提减值准备，与全部按照1.5%的比例计提结果相比较，得出每家银行需要新增计提的部分及其对净利润的影响。由于假设不同，测算结果有所不同，测算结果或与实际情况有所出入，仅供参考。</t>
    <phoneticPr fontId="1" type="noConversion"/>
  </si>
  <si>
    <r>
      <rPr>
        <sz val="11"/>
        <color theme="1"/>
        <rFont val="楷体"/>
        <family val="3"/>
        <charset val="134"/>
      </rPr>
      <t>上市银行非标资产</t>
    </r>
    <phoneticPr fontId="1" type="noConversion"/>
  </si>
  <si>
    <r>
      <rPr>
        <sz val="11"/>
        <rFont val="楷体"/>
        <family val="3"/>
        <charset val="134"/>
      </rPr>
      <t>工商银行</t>
    </r>
    <phoneticPr fontId="2" type="noConversion"/>
  </si>
  <si>
    <r>
      <rPr>
        <sz val="11"/>
        <color theme="1"/>
        <rFont val="楷体"/>
        <family val="3"/>
        <charset val="134"/>
      </rPr>
      <t>建设银行</t>
    </r>
    <phoneticPr fontId="2" type="noConversion"/>
  </si>
  <si>
    <r>
      <rPr>
        <sz val="11"/>
        <color theme="1"/>
        <rFont val="楷体"/>
        <family val="3"/>
        <charset val="134"/>
      </rPr>
      <t>农业银行</t>
    </r>
    <phoneticPr fontId="2" type="noConversion"/>
  </si>
  <si>
    <r>
      <rPr>
        <sz val="11"/>
        <color theme="1"/>
        <rFont val="楷体"/>
        <family val="3"/>
        <charset val="134"/>
      </rPr>
      <t>中国银行</t>
    </r>
    <phoneticPr fontId="2" type="noConversion"/>
  </si>
  <si>
    <r>
      <rPr>
        <sz val="11"/>
        <color theme="1"/>
        <rFont val="楷体"/>
        <family val="3"/>
        <charset val="134"/>
      </rPr>
      <t>交通银行</t>
    </r>
    <phoneticPr fontId="2" type="noConversion"/>
  </si>
  <si>
    <r>
      <rPr>
        <sz val="11"/>
        <color theme="1"/>
        <rFont val="楷体"/>
        <family val="3"/>
        <charset val="134"/>
      </rPr>
      <t>应收款项</t>
    </r>
    <phoneticPr fontId="2" type="noConversion"/>
  </si>
  <si>
    <r>
      <rPr>
        <sz val="11"/>
        <color theme="1"/>
        <rFont val="楷体"/>
        <family val="3"/>
        <charset val="134"/>
      </rPr>
      <t>应收款项</t>
    </r>
    <phoneticPr fontId="2" type="noConversion"/>
  </si>
  <si>
    <r>
      <rPr>
        <sz val="11"/>
        <color theme="1"/>
        <rFont val="楷体"/>
        <family val="3"/>
        <charset val="134"/>
      </rPr>
      <t>应收账款</t>
    </r>
    <phoneticPr fontId="2" type="noConversion"/>
  </si>
  <si>
    <r>
      <rPr>
        <sz val="11"/>
        <color theme="1"/>
        <rFont val="楷体"/>
        <family val="3"/>
        <charset val="134"/>
      </rPr>
      <t>债券</t>
    </r>
    <phoneticPr fontId="2" type="noConversion"/>
  </si>
  <si>
    <r>
      <rPr>
        <sz val="11"/>
        <color theme="1"/>
        <rFont val="楷体"/>
        <family val="3"/>
        <charset val="134"/>
      </rPr>
      <t>政府债</t>
    </r>
    <phoneticPr fontId="2" type="noConversion"/>
  </si>
  <si>
    <r>
      <rPr>
        <sz val="11"/>
        <color theme="1"/>
        <rFont val="楷体"/>
        <family val="3"/>
        <charset val="134"/>
      </rPr>
      <t>财政部款项</t>
    </r>
    <phoneticPr fontId="2" type="noConversion"/>
  </si>
  <si>
    <r>
      <rPr>
        <sz val="11"/>
        <color theme="1"/>
        <rFont val="楷体"/>
        <family val="3"/>
        <charset val="134"/>
      </rPr>
      <t>政府债</t>
    </r>
    <phoneticPr fontId="2" type="noConversion"/>
  </si>
  <si>
    <r>
      <rPr>
        <sz val="11"/>
        <color theme="1"/>
        <rFont val="楷体"/>
        <family val="3"/>
        <charset val="134"/>
      </rPr>
      <t>国债</t>
    </r>
    <phoneticPr fontId="2" type="noConversion"/>
  </si>
  <si>
    <r>
      <rPr>
        <sz val="11"/>
        <color theme="1"/>
        <rFont val="楷体"/>
        <family val="3"/>
        <charset val="134"/>
      </rPr>
      <t>金融债</t>
    </r>
    <phoneticPr fontId="2" type="noConversion"/>
  </si>
  <si>
    <r>
      <rPr>
        <sz val="11"/>
        <color theme="1"/>
        <rFont val="楷体"/>
        <family val="3"/>
        <charset val="134"/>
      </rPr>
      <t>特别国债</t>
    </r>
    <phoneticPr fontId="2" type="noConversion"/>
  </si>
  <si>
    <r>
      <rPr>
        <sz val="11"/>
        <color theme="1"/>
        <rFont val="楷体"/>
        <family val="3"/>
        <charset val="134"/>
      </rPr>
      <t>公共实体债</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</si>
  <si>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</si>
  <si>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</si>
  <si>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企业债</t>
    </r>
    <phoneticPr fontId="2" type="noConversion"/>
  </si>
  <si>
    <r>
      <rPr>
        <sz val="11"/>
        <color theme="1"/>
        <rFont val="楷体"/>
        <family val="3"/>
        <charset val="134"/>
      </rPr>
      <t>政策性银行</t>
    </r>
    <phoneticPr fontId="2" type="noConversion"/>
  </si>
  <si>
    <r>
      <rPr>
        <sz val="11"/>
        <color theme="1"/>
        <rFont val="楷体"/>
        <family val="3"/>
        <charset val="134"/>
      </rPr>
      <t>金融机构理财产品</t>
    </r>
    <phoneticPr fontId="2" type="noConversion"/>
  </si>
  <si>
    <r>
      <rPr>
        <sz val="11"/>
        <color theme="1"/>
        <rFont val="楷体"/>
        <family val="3"/>
        <charset val="134"/>
      </rPr>
      <t>小计</t>
    </r>
    <phoneticPr fontId="2" type="noConversion"/>
  </si>
  <si>
    <r>
      <rPr>
        <sz val="11"/>
        <color theme="1"/>
        <rFont val="楷体"/>
        <family val="3"/>
        <charset val="134"/>
      </rPr>
      <t>公共实体</t>
    </r>
    <phoneticPr fontId="2" type="noConversion"/>
  </si>
  <si>
    <r>
      <rPr>
        <sz val="11"/>
        <color theme="1"/>
        <rFont val="楷体"/>
        <family val="3"/>
        <charset val="134"/>
      </rPr>
      <t>信托及资管</t>
    </r>
    <phoneticPr fontId="2" type="noConversion"/>
  </si>
  <si>
    <r>
      <rPr>
        <sz val="11"/>
        <color theme="1"/>
        <rFont val="楷体"/>
        <family val="3"/>
        <charset val="134"/>
      </rPr>
      <t>公司债</t>
    </r>
    <phoneticPr fontId="2" type="noConversion"/>
  </si>
  <si>
    <r>
      <rPr>
        <sz val="11"/>
        <color theme="1"/>
        <rFont val="楷体"/>
        <family val="3"/>
        <charset val="134"/>
      </rPr>
      <t>小计</t>
    </r>
    <phoneticPr fontId="2" type="noConversion"/>
  </si>
  <si>
    <r>
      <rPr>
        <sz val="11"/>
        <color theme="1"/>
        <rFont val="楷体"/>
        <family val="3"/>
        <charset val="134"/>
      </rPr>
      <t>减值准备</t>
    </r>
    <phoneticPr fontId="2" type="noConversion"/>
  </si>
  <si>
    <r>
      <rPr>
        <sz val="11"/>
        <color theme="1"/>
        <rFont val="楷体"/>
        <family val="3"/>
        <charset val="134"/>
      </rPr>
      <t>资产管理公司</t>
    </r>
    <phoneticPr fontId="2" type="noConversion"/>
  </si>
  <si>
    <r>
      <rPr>
        <sz val="11"/>
        <color theme="1"/>
        <rFont val="楷体"/>
        <family val="3"/>
        <charset val="134"/>
      </rPr>
      <t>减值准备</t>
    </r>
    <phoneticPr fontId="2" type="noConversion"/>
  </si>
  <si>
    <r>
      <rPr>
        <sz val="11"/>
        <color theme="1"/>
        <rFont val="楷体"/>
        <family val="3"/>
        <charset val="134"/>
      </rPr>
      <t>凭证式国债</t>
    </r>
    <phoneticPr fontId="2" type="noConversion"/>
  </si>
  <si>
    <r>
      <rPr>
        <sz val="11"/>
        <color theme="1"/>
        <rFont val="楷体"/>
        <family val="3"/>
        <charset val="134"/>
      </rPr>
      <t>小计</t>
    </r>
    <phoneticPr fontId="2" type="noConversion"/>
  </si>
  <si>
    <r>
      <rPr>
        <sz val="11"/>
        <color theme="1"/>
        <rFont val="楷体"/>
        <family val="3"/>
        <charset val="134"/>
      </rPr>
      <t>信托投资、资产管理计划及其他</t>
    </r>
    <phoneticPr fontId="2" type="noConversion"/>
  </si>
  <si>
    <r>
      <rPr>
        <sz val="11"/>
        <color theme="1"/>
        <rFont val="楷体"/>
        <family val="3"/>
        <charset val="134"/>
      </rPr>
      <t>注：招商、中信、兴业应收款项类细分科目直接给出信贷类资产余额，故在此直接列示此余额</t>
    </r>
    <phoneticPr fontId="1" type="noConversion"/>
  </si>
  <si>
    <r>
      <rPr>
        <sz val="11"/>
        <color theme="1"/>
        <rFont val="楷体"/>
        <family val="3"/>
        <charset val="134"/>
      </rPr>
      <t>招商银行</t>
    </r>
    <phoneticPr fontId="2" type="noConversion"/>
  </si>
  <si>
    <r>
      <rPr>
        <sz val="11"/>
        <color theme="1"/>
        <rFont val="楷体"/>
        <family val="3"/>
        <charset val="134"/>
      </rPr>
      <t>中信银行</t>
    </r>
    <phoneticPr fontId="2" type="noConversion"/>
  </si>
  <si>
    <r>
      <rPr>
        <sz val="11"/>
        <color theme="1"/>
        <rFont val="楷体"/>
        <family val="3"/>
        <charset val="134"/>
      </rPr>
      <t>浦发银行</t>
    </r>
    <phoneticPr fontId="2" type="noConversion"/>
  </si>
  <si>
    <r>
      <rPr>
        <sz val="11"/>
        <color theme="1"/>
        <rFont val="楷体"/>
        <family val="3"/>
        <charset val="134"/>
      </rPr>
      <t>民生银行</t>
    </r>
    <phoneticPr fontId="2" type="noConversion"/>
  </si>
  <si>
    <r>
      <rPr>
        <sz val="11"/>
        <color theme="1"/>
        <rFont val="楷体"/>
        <family val="3"/>
        <charset val="134"/>
      </rPr>
      <t>光大银行</t>
    </r>
    <phoneticPr fontId="2" type="noConversion"/>
  </si>
  <si>
    <r>
      <rPr>
        <sz val="11"/>
        <color theme="1"/>
        <rFont val="楷体"/>
        <family val="3"/>
        <charset val="134"/>
      </rPr>
      <t>华夏银行</t>
    </r>
    <phoneticPr fontId="2" type="noConversion"/>
  </si>
  <si>
    <r>
      <rPr>
        <sz val="11"/>
        <color theme="1"/>
        <rFont val="楷体"/>
        <family val="3"/>
        <charset val="134"/>
      </rPr>
      <t>兴业银行</t>
    </r>
    <phoneticPr fontId="2" type="noConversion"/>
  </si>
  <si>
    <r>
      <rPr>
        <sz val="11"/>
        <color theme="1"/>
        <rFont val="楷体"/>
        <family val="3"/>
        <charset val="134"/>
      </rPr>
      <t>平安银行</t>
    </r>
    <phoneticPr fontId="2" type="noConversion"/>
  </si>
  <si>
    <r>
      <rPr>
        <sz val="11"/>
        <color theme="1"/>
        <rFont val="楷体"/>
        <family val="3"/>
        <charset val="134"/>
      </rPr>
      <t>应收款项</t>
    </r>
    <phoneticPr fontId="2" type="noConversion"/>
  </si>
  <si>
    <r>
      <rPr>
        <sz val="11"/>
        <color theme="1"/>
        <rFont val="楷体"/>
        <family val="3"/>
        <charset val="134"/>
      </rPr>
      <t>分类一</t>
    </r>
    <phoneticPr fontId="1" type="noConversion"/>
  </si>
  <si>
    <r>
      <rPr>
        <sz val="11"/>
        <color theme="1"/>
        <rFont val="楷体"/>
        <family val="3"/>
        <charset val="134"/>
      </rPr>
      <t>同业理财类</t>
    </r>
    <phoneticPr fontId="2" type="noConversion"/>
  </si>
  <si>
    <r>
      <rPr>
        <sz val="11"/>
        <color theme="1"/>
        <rFont val="楷体"/>
        <family val="3"/>
        <charset val="134"/>
      </rPr>
      <t>理财</t>
    </r>
    <phoneticPr fontId="2" type="noConversion"/>
  </si>
  <si>
    <r>
      <rPr>
        <sz val="11"/>
        <color theme="1"/>
        <rFont val="楷体"/>
        <family val="3"/>
        <charset val="134"/>
      </rPr>
      <t>理财</t>
    </r>
    <phoneticPr fontId="2" type="noConversion"/>
  </si>
  <si>
    <r>
      <rPr>
        <sz val="11"/>
        <color theme="1"/>
        <rFont val="楷体"/>
        <family val="3"/>
        <charset val="134"/>
      </rPr>
      <t>一般信贷类</t>
    </r>
    <phoneticPr fontId="2" type="noConversion"/>
  </si>
  <si>
    <r>
      <rPr>
        <sz val="11"/>
        <color theme="1"/>
        <rFont val="楷体"/>
        <family val="3"/>
        <charset val="134"/>
      </rPr>
      <t>金融债</t>
    </r>
    <phoneticPr fontId="2" type="noConversion"/>
  </si>
  <si>
    <r>
      <rPr>
        <sz val="11"/>
        <color theme="1"/>
        <rFont val="楷体"/>
        <family val="3"/>
        <charset val="134"/>
      </rPr>
      <t>信托</t>
    </r>
    <phoneticPr fontId="2" type="noConversion"/>
  </si>
  <si>
    <r>
      <rPr>
        <sz val="11"/>
        <color theme="1"/>
        <rFont val="楷体"/>
        <family val="3"/>
        <charset val="134"/>
      </rPr>
      <t>资管</t>
    </r>
    <phoneticPr fontId="2" type="noConversion"/>
  </si>
  <si>
    <r>
      <rPr>
        <sz val="11"/>
        <color theme="1"/>
        <rFont val="楷体"/>
        <family val="3"/>
        <charset val="134"/>
      </rPr>
      <t>其他债券</t>
    </r>
    <phoneticPr fontId="2" type="noConversion"/>
  </si>
  <si>
    <r>
      <rPr>
        <sz val="11"/>
        <color theme="1"/>
        <rFont val="楷体"/>
        <family val="3"/>
        <charset val="134"/>
      </rPr>
      <t>银行票据类</t>
    </r>
    <phoneticPr fontId="2" type="noConversion"/>
  </si>
  <si>
    <r>
      <rPr>
        <sz val="11"/>
        <color theme="1"/>
        <rFont val="楷体"/>
        <family val="3"/>
        <charset val="134"/>
      </rPr>
      <t>企业债</t>
    </r>
    <phoneticPr fontId="2" type="noConversion"/>
  </si>
  <si>
    <r>
      <rPr>
        <sz val="11"/>
        <color theme="1"/>
        <rFont val="楷体"/>
        <family val="3"/>
        <charset val="134"/>
      </rPr>
      <t>其他投资</t>
    </r>
    <phoneticPr fontId="2" type="noConversion"/>
  </si>
  <si>
    <r>
      <rPr>
        <sz val="11"/>
        <color theme="1"/>
        <rFont val="楷体"/>
        <family val="3"/>
        <charset val="134"/>
      </rPr>
      <t>理财</t>
    </r>
    <phoneticPr fontId="2" type="noConversion"/>
  </si>
  <si>
    <r>
      <rPr>
        <sz val="11"/>
        <color theme="1"/>
        <rFont val="楷体"/>
        <family val="3"/>
        <charset val="134"/>
      </rPr>
      <t>公司债</t>
    </r>
    <phoneticPr fontId="2" type="noConversion"/>
  </si>
  <si>
    <r>
      <rPr>
        <sz val="11"/>
        <color theme="1"/>
        <rFont val="楷体"/>
        <family val="3"/>
        <charset val="134"/>
      </rPr>
      <t>信托</t>
    </r>
    <phoneticPr fontId="2" type="noConversion"/>
  </si>
  <si>
    <r>
      <rPr>
        <sz val="11"/>
        <color theme="1"/>
        <rFont val="楷体"/>
        <family val="3"/>
        <charset val="134"/>
      </rPr>
      <t>货币基金</t>
    </r>
    <phoneticPr fontId="2" type="noConversion"/>
  </si>
  <si>
    <r>
      <rPr>
        <sz val="11"/>
        <color theme="1"/>
        <rFont val="楷体"/>
        <family val="3"/>
        <charset val="134"/>
      </rPr>
      <t>资产支持债券</t>
    </r>
    <phoneticPr fontId="2" type="noConversion"/>
  </si>
  <si>
    <r>
      <rPr>
        <sz val="11"/>
        <color theme="1"/>
        <rFont val="楷体"/>
        <family val="3"/>
        <charset val="134"/>
      </rPr>
      <t>资产收益权</t>
    </r>
    <phoneticPr fontId="2" type="noConversion"/>
  </si>
  <si>
    <r>
      <rPr>
        <sz val="11"/>
        <color theme="1"/>
        <rFont val="楷体"/>
        <family val="3"/>
        <charset val="134"/>
      </rPr>
      <t>非标资产</t>
    </r>
    <phoneticPr fontId="1" type="noConversion"/>
  </si>
  <si>
    <r>
      <rPr>
        <sz val="11"/>
        <color theme="1"/>
        <rFont val="楷体"/>
        <family val="3"/>
        <charset val="134"/>
      </rPr>
      <t>信托及资管</t>
    </r>
    <phoneticPr fontId="2" type="noConversion"/>
  </si>
  <si>
    <r>
      <rPr>
        <sz val="11"/>
        <color theme="1"/>
        <rFont val="楷体"/>
        <family val="3"/>
        <charset val="134"/>
      </rPr>
      <t>信托及资管（细分如下）</t>
    </r>
    <phoneticPr fontId="2" type="noConversion"/>
  </si>
  <si>
    <r>
      <rPr>
        <sz val="11"/>
        <color theme="1"/>
        <rFont val="楷体"/>
        <family val="3"/>
        <charset val="134"/>
      </rPr>
      <t>票据</t>
    </r>
    <phoneticPr fontId="2" type="noConversion"/>
  </si>
  <si>
    <r>
      <rPr>
        <sz val="11"/>
        <color theme="1"/>
        <rFont val="楷体"/>
        <family val="3"/>
        <charset val="134"/>
      </rPr>
      <t>分类二</t>
    </r>
    <phoneticPr fontId="1" type="noConversion"/>
  </si>
  <si>
    <r>
      <rPr>
        <sz val="11"/>
        <color theme="1"/>
        <rFont val="楷体"/>
        <family val="3"/>
        <charset val="134"/>
      </rPr>
      <t>信贷类资产</t>
    </r>
    <phoneticPr fontId="2" type="noConversion"/>
  </si>
  <si>
    <r>
      <rPr>
        <sz val="11"/>
        <color theme="1"/>
        <rFont val="楷体"/>
        <family val="3"/>
        <charset val="134"/>
      </rPr>
      <t>资产证券化支持证券</t>
    </r>
    <phoneticPr fontId="2" type="noConversion"/>
  </si>
  <si>
    <r>
      <rPr>
        <sz val="11"/>
        <color theme="1"/>
        <rFont val="楷体"/>
        <family val="3"/>
        <charset val="134"/>
      </rPr>
      <t>证券定向资管计划</t>
    </r>
    <phoneticPr fontId="1" type="noConversion"/>
  </si>
  <si>
    <r>
      <rPr>
        <sz val="11"/>
        <color theme="1"/>
        <rFont val="楷体"/>
        <family val="3"/>
        <charset val="134"/>
      </rPr>
      <t>票据资产</t>
    </r>
    <phoneticPr fontId="2" type="noConversion"/>
  </si>
  <si>
    <r>
      <rPr>
        <sz val="11"/>
        <color theme="1"/>
        <rFont val="楷体"/>
        <family val="3"/>
        <charset val="134"/>
      </rPr>
      <t>贷款</t>
    </r>
    <phoneticPr fontId="2" type="noConversion"/>
  </si>
  <si>
    <r>
      <rPr>
        <sz val="11"/>
        <color theme="1"/>
        <rFont val="楷体"/>
        <family val="3"/>
        <charset val="134"/>
      </rPr>
      <t>金融机构理财产品</t>
    </r>
    <phoneticPr fontId="1" type="noConversion"/>
  </si>
  <si>
    <r>
      <rPr>
        <sz val="11"/>
        <color theme="1"/>
        <rFont val="楷体"/>
        <family val="3"/>
        <charset val="134"/>
      </rPr>
      <t>同业存款</t>
    </r>
    <phoneticPr fontId="2" type="noConversion"/>
  </si>
  <si>
    <r>
      <rPr>
        <sz val="11"/>
        <color theme="1"/>
        <rFont val="楷体"/>
        <family val="3"/>
        <charset val="134"/>
      </rPr>
      <t>资金信托计划</t>
    </r>
    <phoneticPr fontId="1" type="noConversion"/>
  </si>
  <si>
    <r>
      <rPr>
        <sz val="11"/>
        <color theme="1"/>
        <rFont val="楷体"/>
        <family val="3"/>
        <charset val="134"/>
      </rPr>
      <t>同业债权资产收益权</t>
    </r>
    <phoneticPr fontId="2" type="noConversion"/>
  </si>
  <si>
    <r>
      <rPr>
        <sz val="11"/>
        <color theme="1"/>
        <rFont val="楷体"/>
        <family val="3"/>
        <charset val="134"/>
      </rPr>
      <t>基金</t>
    </r>
    <phoneticPr fontId="2" type="noConversion"/>
  </si>
  <si>
    <r>
      <rPr>
        <sz val="11"/>
        <color theme="1"/>
        <rFont val="楷体"/>
        <family val="3"/>
        <charset val="134"/>
      </rPr>
      <t>中信前后给出两种应收款项类投资分类方法，均列示于此</t>
    </r>
    <phoneticPr fontId="1" type="noConversion"/>
  </si>
  <si>
    <r>
      <rPr>
        <sz val="11"/>
        <color theme="1"/>
        <rFont val="楷体"/>
        <family val="3"/>
        <charset val="134"/>
      </rPr>
      <t>北京银行</t>
    </r>
    <phoneticPr fontId="2" type="noConversion"/>
  </si>
  <si>
    <r>
      <rPr>
        <sz val="11"/>
        <color theme="1"/>
        <rFont val="楷体"/>
        <family val="3"/>
        <charset val="134"/>
      </rPr>
      <t>南京银行</t>
    </r>
    <phoneticPr fontId="2" type="noConversion"/>
  </si>
  <si>
    <r>
      <rPr>
        <sz val="11"/>
        <color theme="1"/>
        <rFont val="楷体"/>
        <family val="3"/>
        <charset val="134"/>
      </rPr>
      <t>宁波银行</t>
    </r>
    <phoneticPr fontId="2" type="noConversion"/>
  </si>
  <si>
    <r>
      <rPr>
        <sz val="11"/>
        <color theme="1"/>
        <rFont val="楷体"/>
        <family val="3"/>
        <charset val="134"/>
      </rPr>
      <t>江苏银行</t>
    </r>
    <phoneticPr fontId="2" type="noConversion"/>
  </si>
  <si>
    <r>
      <rPr>
        <sz val="11"/>
        <color theme="1"/>
        <rFont val="楷体"/>
        <family val="3"/>
        <charset val="134"/>
      </rPr>
      <t>应收款项</t>
    </r>
    <phoneticPr fontId="2" type="noConversion"/>
  </si>
  <si>
    <r>
      <rPr>
        <sz val="11"/>
        <color theme="1"/>
        <rFont val="楷体"/>
        <family val="3"/>
        <charset val="134"/>
      </rPr>
      <t>应收款项类投资</t>
    </r>
    <phoneticPr fontId="1" type="noConversion"/>
  </si>
  <si>
    <r>
      <rPr>
        <sz val="11"/>
        <color theme="1"/>
        <rFont val="楷体"/>
        <family val="3"/>
        <charset val="134"/>
      </rPr>
      <t>资管及信托</t>
    </r>
    <phoneticPr fontId="2" type="noConversion"/>
  </si>
  <si>
    <r>
      <rPr>
        <sz val="11"/>
        <color theme="1"/>
        <rFont val="楷体"/>
        <family val="3"/>
        <charset val="134"/>
      </rPr>
      <t>资管及信托</t>
    </r>
    <phoneticPr fontId="2" type="noConversion"/>
  </si>
  <si>
    <r>
      <rPr>
        <sz val="11"/>
        <color theme="1"/>
        <rFont val="楷体"/>
        <family val="3"/>
        <charset val="134"/>
      </rPr>
      <t>政府债券</t>
    </r>
  </si>
  <si>
    <r>
      <rPr>
        <sz val="11"/>
        <color theme="1"/>
        <rFont val="楷体"/>
        <family val="3"/>
        <charset val="134"/>
      </rPr>
      <t>中国境内</t>
    </r>
  </si>
  <si>
    <r>
      <rPr>
        <sz val="11"/>
        <color theme="1"/>
        <rFont val="楷体"/>
        <family val="3"/>
        <charset val="134"/>
      </rPr>
      <t>产业基金</t>
    </r>
    <phoneticPr fontId="1" type="noConversion"/>
  </si>
  <si>
    <r>
      <rPr>
        <sz val="11"/>
        <color theme="1"/>
        <rFont val="楷体"/>
        <family val="3"/>
        <charset val="134"/>
      </rPr>
      <t>信托</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</si>
  <si>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</si>
  <si>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</si>
  <si>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信托及资产管理计划</t>
    </r>
  </si>
  <si>
    <r>
      <rPr>
        <sz val="11"/>
        <color theme="1"/>
        <rFont val="楷体"/>
        <family val="3"/>
        <charset val="134"/>
      </rPr>
      <t>政府</t>
    </r>
  </si>
  <si>
    <r>
      <rPr>
        <sz val="11"/>
        <color theme="1"/>
        <rFont val="楷体"/>
        <family val="3"/>
        <charset val="134"/>
      </rPr>
      <t>委托债权投资</t>
    </r>
    <phoneticPr fontId="1" type="noConversion"/>
  </si>
  <si>
    <r>
      <rPr>
        <sz val="11"/>
        <color theme="1"/>
        <rFont val="楷体"/>
        <family val="3"/>
        <charset val="134"/>
      </rPr>
      <t>小计</t>
    </r>
    <phoneticPr fontId="2" type="noConversion"/>
  </si>
  <si>
    <r>
      <rPr>
        <sz val="11"/>
        <color theme="1"/>
        <rFont val="楷体"/>
        <family val="3"/>
        <charset val="134"/>
      </rPr>
      <t>其他债</t>
    </r>
    <phoneticPr fontId="2" type="noConversion"/>
  </si>
  <si>
    <r>
      <rPr>
        <sz val="11"/>
        <color theme="1"/>
        <rFont val="楷体"/>
        <family val="3"/>
        <charset val="134"/>
      </rPr>
      <t>合计</t>
    </r>
  </si>
  <si>
    <r>
      <rPr>
        <sz val="11"/>
        <color theme="1"/>
        <rFont val="楷体"/>
        <family val="3"/>
        <charset val="134"/>
      </rPr>
      <t>商业银行</t>
    </r>
  </si>
  <si>
    <r>
      <rPr>
        <sz val="11"/>
        <color theme="1"/>
        <rFont val="楷体"/>
        <family val="3"/>
        <charset val="134"/>
      </rPr>
      <t>资产减值准备</t>
    </r>
    <phoneticPr fontId="2" type="noConversion"/>
  </si>
  <si>
    <r>
      <rPr>
        <sz val="11"/>
        <color theme="1"/>
        <rFont val="楷体"/>
        <family val="3"/>
        <charset val="134"/>
      </rPr>
      <t>理财及信托</t>
    </r>
    <phoneticPr fontId="2" type="noConversion"/>
  </si>
  <si>
    <r>
      <rPr>
        <sz val="11"/>
        <color theme="1"/>
        <rFont val="楷体"/>
        <family val="3"/>
        <charset val="134"/>
      </rPr>
      <t>减值准备</t>
    </r>
  </si>
  <si>
    <r>
      <rPr>
        <sz val="11"/>
        <color theme="1"/>
        <rFont val="楷体"/>
        <family val="3"/>
        <charset val="134"/>
      </rPr>
      <t>非银行金融机构</t>
    </r>
  </si>
  <si>
    <r>
      <rPr>
        <sz val="11"/>
        <color theme="1"/>
        <rFont val="楷体"/>
        <family val="3"/>
        <charset val="134"/>
      </rPr>
      <t>政策性债券</t>
    </r>
    <phoneticPr fontId="2" type="noConversion"/>
  </si>
  <si>
    <r>
      <rPr>
        <sz val="11"/>
        <color theme="1"/>
        <rFont val="楷体"/>
        <family val="3"/>
        <charset val="134"/>
      </rPr>
      <t>其他机构（企业债）</t>
    </r>
    <phoneticPr fontId="1" type="noConversion"/>
  </si>
  <si>
    <r>
      <rPr>
        <sz val="11"/>
        <color theme="1"/>
        <rFont val="楷体"/>
        <family val="3"/>
        <charset val="134"/>
      </rPr>
      <t>金融债</t>
    </r>
    <phoneticPr fontId="2" type="noConversion"/>
  </si>
  <si>
    <r>
      <rPr>
        <sz val="11"/>
        <color theme="1"/>
        <rFont val="楷体"/>
        <family val="3"/>
        <charset val="134"/>
      </rPr>
      <t>注：根据年报批注：政府主要是凭证式国债、储蓄式国债和地方政府债。</t>
    </r>
    <phoneticPr fontId="1" type="noConversion"/>
  </si>
  <si>
    <r>
      <rPr>
        <sz val="11"/>
        <color theme="1"/>
        <rFont val="楷体"/>
        <family val="3"/>
        <charset val="134"/>
      </rPr>
      <t>商业银行及非银行金融机构中含有信贷资产</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</si>
  <si>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</si>
  <si>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</si>
  <si>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2" type="noConversion"/>
  </si>
  <si>
    <r>
      <rPr>
        <sz val="11"/>
        <color theme="1"/>
        <rFont val="楷体"/>
        <family val="3"/>
        <charset val="134"/>
      </rPr>
      <t>应收款项类投资</t>
    </r>
    <phoneticPr fontId="1" type="noConversion"/>
  </si>
  <si>
    <r>
      <rPr>
        <sz val="11"/>
        <color theme="1"/>
        <rFont val="楷体"/>
        <family val="3"/>
        <charset val="134"/>
      </rPr>
      <t>资管类</t>
    </r>
    <phoneticPr fontId="4" type="noConversion"/>
  </si>
  <si>
    <r>
      <rPr>
        <sz val="11"/>
        <color theme="1"/>
        <rFont val="楷体"/>
        <family val="3"/>
        <charset val="134"/>
      </rPr>
      <t>信托及资管</t>
    </r>
    <phoneticPr fontId="4" type="noConversion"/>
  </si>
  <si>
    <r>
      <rPr>
        <sz val="11"/>
        <color theme="1"/>
        <rFont val="楷体"/>
        <family val="3"/>
        <charset val="134"/>
      </rPr>
      <t>企业债券</t>
    </r>
  </si>
  <si>
    <r>
      <rPr>
        <sz val="11"/>
        <color theme="1"/>
        <rFont val="楷体"/>
        <family val="3"/>
        <charset val="134"/>
      </rPr>
      <t>小计</t>
    </r>
    <phoneticPr fontId="4" type="noConversion"/>
  </si>
  <si>
    <r>
      <rPr>
        <sz val="11"/>
        <color theme="1"/>
        <rFont val="楷体"/>
        <family val="3"/>
        <charset val="134"/>
      </rPr>
      <t>理财</t>
    </r>
    <phoneticPr fontId="4" type="noConversion"/>
  </si>
  <si>
    <r>
      <rPr>
        <sz val="11"/>
        <color theme="1"/>
        <rFont val="楷体"/>
        <family val="3"/>
        <charset val="134"/>
      </rPr>
      <t>信托及资管</t>
    </r>
    <phoneticPr fontId="4" type="noConversion"/>
  </si>
  <si>
    <r>
      <rPr>
        <sz val="11"/>
        <color theme="1"/>
        <rFont val="楷体"/>
        <family val="3"/>
        <charset val="134"/>
      </rPr>
      <t>理财</t>
    </r>
    <phoneticPr fontId="4" type="noConversion"/>
  </si>
  <si>
    <r>
      <rPr>
        <sz val="11"/>
        <color theme="1"/>
        <rFont val="楷体"/>
        <family val="3"/>
        <charset val="134"/>
      </rPr>
      <t>小计</t>
    </r>
    <phoneticPr fontId="4" type="noConversion"/>
  </si>
  <si>
    <r>
      <rPr>
        <sz val="11"/>
        <color theme="1"/>
        <rFont val="楷体"/>
        <family val="3"/>
        <charset val="134"/>
      </rPr>
      <t>信托及资管</t>
    </r>
    <phoneticPr fontId="4" type="noConversion"/>
  </si>
  <si>
    <r>
      <rPr>
        <sz val="11"/>
        <color theme="1"/>
        <rFont val="楷体"/>
        <family val="3"/>
        <charset val="134"/>
      </rPr>
      <t>其他</t>
    </r>
    <phoneticPr fontId="4" type="noConversion"/>
  </si>
  <si>
    <r>
      <rPr>
        <sz val="11"/>
        <color theme="1"/>
        <rFont val="楷体"/>
        <family val="3"/>
        <charset val="134"/>
      </rPr>
      <t>小计</t>
    </r>
    <phoneticPr fontId="4" type="noConversion"/>
  </si>
  <si>
    <r>
      <rPr>
        <sz val="11"/>
        <color theme="1"/>
        <rFont val="楷体"/>
        <family val="3"/>
        <charset val="134"/>
      </rPr>
      <t>应收账款类投资减值准备（组合计提）</t>
    </r>
  </si>
  <si>
    <t>假设：类信贷非标资产占“资管、信托或其他非标资产”的比重</t>
    <phoneticPr fontId="1" type="noConversion"/>
  </si>
  <si>
    <r>
      <rPr>
        <b/>
        <sz val="11"/>
        <color theme="1"/>
        <rFont val="楷体"/>
        <family val="3"/>
        <charset val="134"/>
      </rPr>
      <t>相对</t>
    </r>
    <r>
      <rPr>
        <b/>
        <sz val="11"/>
        <color theme="1"/>
        <rFont val="Times New Roman"/>
        <family val="1"/>
      </rPr>
      <t>1.5%</t>
    </r>
    <r>
      <rPr>
        <b/>
        <sz val="11"/>
        <color theme="1"/>
        <rFont val="楷体"/>
        <family val="3"/>
        <charset val="134"/>
      </rPr>
      <t>的比例新增计提部分</t>
    </r>
    <phoneticPr fontId="1" type="noConversion"/>
  </si>
  <si>
    <t>类信贷非标规模（估算）</t>
    <phoneticPr fontId="1" type="noConversion"/>
  </si>
  <si>
    <t>五级分类计提拨备额</t>
    <phoneticPr fontId="1" type="noConversion"/>
  </si>
  <si>
    <t>按正常(1.5%)计提拨备额</t>
    <phoneticPr fontId="1" type="noConversion"/>
  </si>
  <si>
    <t>需补提金额</t>
    <phoneticPr fontId="1" type="noConversion"/>
  </si>
  <si>
    <t>假设：</t>
    <phoneticPr fontId="1" type="noConversion"/>
  </si>
  <si>
    <t>【东吴银行马婷婷团队】类信贷非标按5级分类计提减值损失估算</t>
    <phoneticPr fontId="1" type="noConversion"/>
  </si>
  <si>
    <t>1）假设所有银行原来的计提方式都按照正常类贷款，1.5%计提；</t>
    <phoneticPr fontId="1" type="noConversion"/>
  </si>
  <si>
    <t xml:space="preserve">2）类信贷非标资产中，5级分类占比与中报贷款的占比一致； </t>
    <phoneticPr fontId="1" type="noConversion"/>
  </si>
  <si>
    <t>3）剔除应收款项类投资中的债券、理财等标准化资产之后，假设“类信贷资产”的占比---"占比*"；</t>
    <phoneticPr fontId="1" type="noConversion"/>
  </si>
  <si>
    <t>4）不同类型银行的“占比*”如下：国有大行20%；股份行65%；城商行40%；农商行40%。</t>
    <phoneticPr fontId="1" type="noConversion"/>
  </si>
  <si>
    <t>（亿元）</t>
    <phoneticPr fontId="1" type="noConversion"/>
  </si>
  <si>
    <t>结论：国有大行受影响幅度最小，部分股份行及城商行或有压力。</t>
    <phoneticPr fontId="1" type="noConversion"/>
  </si>
  <si>
    <t>备注2：各银行实际情况与其风控机制、业务开展原则相关，部分银行非常规范，实际受影响程度较弱；</t>
    <phoneticPr fontId="1" type="noConversion"/>
  </si>
  <si>
    <t>备注3：兴业银行在业务开展伊始，即严格按照5级分类计提减值准备，实际无调整压力；此结果为统一假设下估算数据，仅供参考</t>
    <phoneticPr fontId="1" type="noConversion"/>
  </si>
  <si>
    <t>资料来源：银行中报、东吴证券研究所</t>
    <phoneticPr fontId="1" type="noConversion"/>
  </si>
  <si>
    <t>备注1：此测算结果基于多个假设，实际情况与此有出入，仅供参考；（欢迎索取底稿，自行调整假设测算）</t>
    <phoneticPr fontId="1" type="noConversion"/>
  </si>
  <si>
    <t>对净利润影响</t>
    <phoneticPr fontId="1" type="noConversion"/>
  </si>
  <si>
    <t>应收款项类投资实际减值准备</t>
    <phoneticPr fontId="1" type="noConversion"/>
  </si>
  <si>
    <t>年度净利润（半年度*2）</t>
    <phoneticPr fontId="1" type="noConversion"/>
  </si>
  <si>
    <t>类信贷非标投资测算计提加总</t>
    <phoneticPr fontId="1" type="noConversion"/>
  </si>
  <si>
    <t>对年度净利润的影响</t>
    <phoneticPr fontId="1" type="noConversion"/>
  </si>
  <si>
    <t>需补提部分</t>
    <phoneticPr fontId="1" type="noConversion"/>
  </si>
  <si>
    <t>减值准备计提比例</t>
    <phoneticPr fontId="1" type="noConversion"/>
  </si>
  <si>
    <t>应收款项类投资中实际减值准备额</t>
    <phoneticPr fontId="1" type="noConversion"/>
  </si>
  <si>
    <t>实际计提比例测算</t>
    <phoneticPr fontId="1" type="noConversion"/>
  </si>
  <si>
    <t>-</t>
    <phoneticPr fontId="1" type="noConversion"/>
  </si>
  <si>
    <t>类信贷资产E</t>
    <phoneticPr fontId="1" type="noConversion"/>
  </si>
  <si>
    <t>结论：国有大行受影响幅度最小，部分股份行或有压力。</t>
    <phoneticPr fontId="1" type="noConversion"/>
  </si>
  <si>
    <t xml:space="preserve">1）类信贷非标资产中，5级分类占比与中报贷款的占比一致； </t>
    <phoneticPr fontId="1" type="noConversion"/>
  </si>
  <si>
    <t>2）剔除应收款项类投资中的债券、理财等标准化资产之后，假设“类信贷资产”的占比---"占比*"；</t>
    <phoneticPr fontId="1" type="noConversion"/>
  </si>
  <si>
    <t>3）不同类型银行的“占比*”如下：国有大行20%；股份行65%；城商行40%；农商行40%。</t>
    <phoneticPr fontId="1" type="noConversion"/>
  </si>
  <si>
    <t>股份制银行敏感性分析</t>
    <phoneticPr fontId="1" type="noConversion"/>
  </si>
  <si>
    <t>银行</t>
    <phoneticPr fontId="1" type="noConversion"/>
  </si>
  <si>
    <r>
      <rPr>
        <sz val="11"/>
        <color theme="1"/>
        <rFont val="楷体"/>
        <family val="3"/>
        <charset val="134"/>
      </rPr>
      <t>按</t>
    </r>
    <r>
      <rPr>
        <sz val="11"/>
        <color theme="1"/>
        <rFont val="Times New Roman"/>
        <family val="1"/>
      </rPr>
      <t>65%</t>
    </r>
    <r>
      <rPr>
        <sz val="11"/>
        <color theme="1"/>
        <rFont val="楷体"/>
        <family val="3"/>
        <charset val="134"/>
      </rPr>
      <t>比例测算对净利润影响</t>
    </r>
    <phoneticPr fontId="1" type="noConversion"/>
  </si>
  <si>
    <t>信贷类资产在信托、资管等及其他类非标资产所占比例</t>
    <phoneticPr fontId="1" type="noConversion"/>
  </si>
  <si>
    <t>招行、中信、兴业</t>
    <phoneticPr fontId="1" type="noConversion"/>
  </si>
  <si>
    <t>招商银行</t>
    <phoneticPr fontId="1" type="noConversion"/>
  </si>
  <si>
    <t>中信银行</t>
    <phoneticPr fontId="1" type="noConversion"/>
  </si>
  <si>
    <t>兴业银行</t>
    <phoneticPr fontId="1" type="noConversion"/>
  </si>
  <si>
    <t>类信贷余额</t>
    <phoneticPr fontId="1" type="noConversion"/>
  </si>
  <si>
    <t>实际减值准备</t>
    <phoneticPr fontId="1" type="noConversion"/>
  </si>
  <si>
    <t>贷款减值准备</t>
    <phoneticPr fontId="1" type="noConversion"/>
  </si>
  <si>
    <t>贷款总额</t>
    <phoneticPr fontId="1" type="noConversion"/>
  </si>
  <si>
    <t>拨贷比</t>
    <phoneticPr fontId="1" type="noConversion"/>
  </si>
  <si>
    <t>贷款减值准备</t>
    <phoneticPr fontId="1" type="noConversion"/>
  </si>
  <si>
    <t>贷款总额</t>
    <phoneticPr fontId="1" type="noConversion"/>
  </si>
  <si>
    <t>拨贷比</t>
    <phoneticPr fontId="1" type="noConversion"/>
  </si>
  <si>
    <t>2016类信贷资产E</t>
    <phoneticPr fontId="1" type="noConversion"/>
  </si>
  <si>
    <t>2017H类信贷资产E</t>
    <phoneticPr fontId="1" type="noConversion"/>
  </si>
  <si>
    <t>股份行平均</t>
    <phoneticPr fontId="1" type="noConversion"/>
  </si>
  <si>
    <t>城商行平均</t>
    <phoneticPr fontId="1" type="noConversion"/>
  </si>
  <si>
    <t>-</t>
  </si>
  <si>
    <t>i</t>
    <phoneticPr fontId="1" type="noConversion"/>
  </si>
  <si>
    <t>2016实际计提</t>
    <phoneticPr fontId="1" type="noConversion"/>
  </si>
  <si>
    <t>2017实际计提</t>
    <phoneticPr fontId="1" type="noConversion"/>
  </si>
  <si>
    <t>农商行</t>
    <phoneticPr fontId="1" type="noConversion"/>
  </si>
  <si>
    <t>银行</t>
  </si>
  <si>
    <t>工商银行</t>
  </si>
  <si>
    <t>建设银行</t>
  </si>
  <si>
    <t>农业银行</t>
  </si>
  <si>
    <t>中国银行</t>
  </si>
  <si>
    <t>交通银行</t>
  </si>
  <si>
    <t>招商银行</t>
  </si>
  <si>
    <t>中信银行</t>
  </si>
  <si>
    <t>浦发银行</t>
  </si>
  <si>
    <t>民生银行</t>
  </si>
  <si>
    <t>兴业银行</t>
  </si>
  <si>
    <t>光大银行</t>
  </si>
  <si>
    <t>华夏银行</t>
  </si>
  <si>
    <t>平安银行</t>
  </si>
  <si>
    <t>北京银行</t>
  </si>
  <si>
    <t>南京银行</t>
  </si>
  <si>
    <t>宁波银行</t>
  </si>
  <si>
    <t>上海银行</t>
  </si>
  <si>
    <t>贵阳银行</t>
  </si>
  <si>
    <t>杭州银行</t>
  </si>
  <si>
    <t>江苏银行</t>
  </si>
  <si>
    <t>无锡银行</t>
  </si>
  <si>
    <t>常熟银行</t>
  </si>
  <si>
    <t>江阴银行</t>
  </si>
  <si>
    <t>吴江银行</t>
  </si>
  <si>
    <t>张家港行</t>
  </si>
  <si>
    <t>银行整体</t>
    <phoneticPr fontId="1" type="noConversion"/>
  </si>
  <si>
    <r>
      <rPr>
        <sz val="11"/>
        <color theme="1"/>
        <rFont val="等线"/>
        <family val="2"/>
      </rPr>
      <t>上市银行</t>
    </r>
    <phoneticPr fontId="1" type="noConversion"/>
  </si>
  <si>
    <t>折现率</t>
    <phoneticPr fontId="1" type="noConversion"/>
  </si>
  <si>
    <t>不干</t>
    <phoneticPr fontId="1" type="noConversion"/>
  </si>
  <si>
    <t>现值</t>
    <phoneticPr fontId="1" type="noConversion"/>
  </si>
  <si>
    <t>干</t>
    <phoneticPr fontId="1" type="noConversion"/>
  </si>
  <si>
    <t>死亡几率</t>
    <phoneticPr fontId="1" type="noConversion"/>
  </si>
  <si>
    <t>奖金</t>
    <phoneticPr fontId="1" type="noConversion"/>
  </si>
  <si>
    <t>单位：万</t>
    <phoneticPr fontId="1" type="noConversion"/>
  </si>
  <si>
    <t>国有行总计</t>
    <phoneticPr fontId="1" type="noConversion"/>
  </si>
  <si>
    <t>国有行平均</t>
    <phoneticPr fontId="1" type="noConversion"/>
  </si>
  <si>
    <t>农商行平均</t>
    <phoneticPr fontId="1" type="noConversion"/>
  </si>
  <si>
    <t>2016年实际计提比例</t>
    <phoneticPr fontId="1" type="noConversion"/>
  </si>
  <si>
    <t>2017H实际计提比例</t>
    <phoneticPr fontId="1" type="noConversion"/>
  </si>
  <si>
    <t>实际应收款项类减值准备变动</t>
    <phoneticPr fontId="1" type="noConversion"/>
  </si>
  <si>
    <t>类信贷资产变动（测算）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</si>
</sst>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00_);[Red]\(0.00\)"/>
    <numFmt numFmtId="177" formatCode="###,###,##0.0000"/>
    <numFmt numFmtId="178" formatCode="###,###,##0.00"/>
    <numFmt numFmtId="179" formatCode="0.0000"/>
    <numFmt numFmtId="180" formatCode="0.00_ "/>
    <numFmt numFmtId="181" formatCode="0.0%"/>
    <numFmt numFmtId="189" formatCode="0.0"/>
    <numFmt numFmtId="191" formatCode="0.0_);[Red]\(0.0\)"/>
  </numFmts>
  <fonts count="22"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theme="1"/>
      <name val="等线"/>
      <family val="2"/>
      <charset val="134"/>
      <scheme val="minor"/>
    </font>
    <font>
      <sz val="11"/>
      <color theme="1"/>
      <name val="等线"/>
      <family val="2"/>
      <scheme val="minor"/>
    </font>
    <font>
      <sz val="11"/>
      <color theme="1"/>
      <name val="楷体"/>
      <family val="3"/>
      <charset val="134"/>
    </font>
    <font>
      <sz val="18"/>
      <color theme="1"/>
      <name val="楷体"/>
      <family val="3"/>
      <charset val="134"/>
    </font>
    <font>
      <sz val="18"/>
      <color theme="1"/>
      <name val="Times New Roman"/>
      <family val="1"/>
    </font>
    <font>
      <sz val="11"/>
      <name val="Times New Roman"/>
      <family val="1"/>
    </font>
    <font>
      <sz val="11"/>
      <name val="楷体"/>
      <family val="3"/>
      <charset val="134"/>
    </font>
    <font>
      <b/>
      <sz val="11"/>
      <color theme="1"/>
      <name val="Times New Roman"/>
      <family val="1"/>
    </font>
    <font>
      <b/>
      <sz val="11"/>
      <color theme="1"/>
      <name val="楷体"/>
      <family val="3"/>
      <charset val="134"/>
    </font>
    <font>
      <sz val="11"/>
      <color theme="1"/>
      <name val="宋体"/>
      <family val="3"/>
      <charset val="134"/>
    </font>
    <font>
      <sz val="11"/>
      <color rgb="FF000000"/>
      <name val="Times New Roman"/>
      <family val="1"/>
    </font>
    <font>
      <sz val="11"/>
      <color theme="1"/>
      <name val="等线"/>
      <family val="2"/>
    </font>
    <font>
      <b/>
      <sz val="11"/>
      <color rgb="FFFFFFFF"/>
      <name val="楷体_GB2312"/>
      <family val="3"/>
      <charset val="134"/>
    </font>
    <font>
      <b/>
      <sz val="10.5"/>
      <color rgb="FFFFFFFF"/>
      <name val="楷体_GB2312"/>
      <family val="3"/>
      <charset val="134"/>
    </font>
    <font>
      <sz val="10.5"/>
      <color theme="1"/>
      <name val="楷体_GB2312"/>
      <family val="3"/>
      <charset val="134"/>
    </font>
    <font>
      <sz val="10.5"/>
      <color theme="1"/>
      <name val="Times New Roman"/>
      <family val="1"/>
    </font>
    <font>
      <b/>
      <sz val="10.5"/>
      <color theme="1"/>
      <name val="楷体_GB2312"/>
      <family val="3"/>
      <charset val="134"/>
    </font>
    <font>
      <b/>
      <sz val="10.5"/>
      <color theme="1"/>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
      <patternFill patternType="solid">
        <fgColor rgb="FF1F4E79"/>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0"/>
    <xf numFmtId="9" fontId="5" fillId="0" borderId="0" applyFont="0" applyFill="0" applyBorder="0" applyAlignment="0" applyProtection="0">
      <alignment vertical="center"/>
    </xf>
  </cellStyleXfs>
  <cellXfs count="232">
    <xf numFmtId="0" fontId="0" fillId="0" borderId="0" xfId="0"/>
    <xf numFmtId="0" fontId="3" fillId="0" borderId="0" xfId="0" applyFont="1"/>
    <xf numFmtId="9" fontId="3" fillId="0" borderId="0" xfId="0" applyNumberFormat="1" applyFont="1"/>
    <xf numFmtId="10" fontId="3" fillId="0" borderId="0" xfId="0" applyNumberFormat="1" applyFont="1"/>
    <xf numFmtId="2" fontId="3" fillId="0" borderId="0" xfId="0" applyNumberFormat="1" applyFont="1"/>
    <xf numFmtId="176" fontId="3" fillId="0" borderId="0" xfId="0" applyNumberFormat="1" applyFont="1"/>
    <xf numFmtId="177" fontId="3" fillId="0" borderId="0" xfId="0" applyNumberFormat="1" applyFont="1"/>
    <xf numFmtId="179" fontId="3" fillId="0" borderId="0" xfId="0" applyNumberFormat="1" applyFont="1"/>
    <xf numFmtId="0" fontId="3" fillId="4" borderId="0" xfId="0" applyFont="1" applyFill="1"/>
    <xf numFmtId="178" fontId="3" fillId="0" borderId="0" xfId="0" applyNumberFormat="1" applyFont="1"/>
    <xf numFmtId="10" fontId="3" fillId="0" borderId="0" xfId="2" applyNumberFormat="1" applyFont="1" applyAlignment="1"/>
    <xf numFmtId="3" fontId="3" fillId="0" borderId="0" xfId="0" applyNumberFormat="1" applyFont="1"/>
    <xf numFmtId="2" fontId="3" fillId="0" borderId="0" xfId="0" applyNumberFormat="1" applyFont="1" applyBorder="1"/>
    <xf numFmtId="176" fontId="3" fillId="0" borderId="0" xfId="0" applyNumberFormat="1" applyFont="1" applyBorder="1"/>
    <xf numFmtId="9" fontId="3" fillId="5" borderId="0" xfId="0" applyNumberFormat="1" applyFont="1" applyFill="1"/>
    <xf numFmtId="10" fontId="3" fillId="5" borderId="0" xfId="0" applyNumberFormat="1" applyFont="1" applyFill="1"/>
    <xf numFmtId="0" fontId="3" fillId="0" borderId="0" xfId="0" applyFont="1" applyAlignment="1">
      <alignment horizontal="center"/>
    </xf>
    <xf numFmtId="0" fontId="3" fillId="0" borderId="0" xfId="0" applyNumberFormat="1" applyFont="1"/>
    <xf numFmtId="0" fontId="3" fillId="0" borderId="0" xfId="0" applyNumberFormat="1" applyFont="1" applyAlignment="1">
      <alignment horizontal="right"/>
    </xf>
    <xf numFmtId="0" fontId="3" fillId="5" borderId="0" xfId="0" applyNumberFormat="1" applyFont="1" applyFill="1" applyBorder="1" applyAlignment="1">
      <alignment vertical="center"/>
    </xf>
    <xf numFmtId="0" fontId="3" fillId="0" borderId="0" xfId="0" applyNumberFormat="1" applyFont="1" applyAlignment="1">
      <alignment vertical="center"/>
    </xf>
    <xf numFmtId="0" fontId="3" fillId="0" borderId="0" xfId="0" applyNumberFormat="1" applyFont="1" applyFill="1" applyAlignment="1">
      <alignment horizontal="left" vertical="center"/>
    </xf>
    <xf numFmtId="0" fontId="3" fillId="0" borderId="0" xfId="0" applyNumberFormat="1" applyFont="1" applyFill="1" applyAlignment="1">
      <alignment horizontal="right" vertical="center"/>
    </xf>
    <xf numFmtId="0" fontId="3" fillId="5" borderId="0" xfId="0" applyNumberFormat="1" applyFont="1" applyFill="1" applyAlignment="1">
      <alignment horizontal="left" vertical="center"/>
    </xf>
    <xf numFmtId="0" fontId="3" fillId="5" borderId="0" xfId="0" applyNumberFormat="1" applyFont="1" applyFill="1" applyAlignment="1">
      <alignment horizontal="right" vertical="center"/>
    </xf>
    <xf numFmtId="0" fontId="3" fillId="5" borderId="0" xfId="0" applyNumberFormat="1" applyFont="1" applyFill="1" applyAlignment="1">
      <alignment vertical="center"/>
    </xf>
    <xf numFmtId="0" fontId="3" fillId="0" borderId="0" xfId="0" applyNumberFormat="1" applyFont="1" applyAlignment="1">
      <alignment horizontal="right" vertical="center"/>
    </xf>
    <xf numFmtId="0" fontId="3" fillId="2" borderId="0" xfId="0" applyNumberFormat="1" applyFont="1" applyFill="1" applyAlignment="1">
      <alignment horizontal="left" vertical="center"/>
    </xf>
    <xf numFmtId="0" fontId="3" fillId="3" borderId="0" xfId="0" applyNumberFormat="1" applyFont="1" applyFill="1" applyBorder="1" applyAlignment="1">
      <alignment vertical="center"/>
    </xf>
    <xf numFmtId="0" fontId="3" fillId="0" borderId="0" xfId="1" applyNumberFormat="1" applyFont="1" applyFill="1" applyAlignment="1">
      <alignment horizontal="left"/>
    </xf>
    <xf numFmtId="0" fontId="3" fillId="5" borderId="0" xfId="1" applyNumberFormat="1" applyFont="1" applyFill="1" applyAlignment="1">
      <alignment horizontal="left"/>
    </xf>
    <xf numFmtId="0" fontId="3" fillId="0" borderId="0" xfId="1" applyNumberFormat="1" applyFont="1" applyFill="1" applyAlignment="1">
      <alignment horizontal="left" vertical="center"/>
    </xf>
    <xf numFmtId="0" fontId="3" fillId="5" borderId="0" xfId="1" applyNumberFormat="1" applyFont="1" applyFill="1" applyAlignment="1">
      <alignment horizontal="left" vertical="center"/>
    </xf>
    <xf numFmtId="0" fontId="3" fillId="5" borderId="0" xfId="1" applyNumberFormat="1" applyFont="1" applyFill="1" applyBorder="1" applyAlignment="1">
      <alignment horizontal="left" vertical="center"/>
    </xf>
    <xf numFmtId="0" fontId="3" fillId="0" borderId="0" xfId="1" applyNumberFormat="1" applyFont="1" applyFill="1" applyBorder="1" applyAlignment="1">
      <alignment horizontal="left" vertical="center"/>
    </xf>
    <xf numFmtId="2" fontId="3" fillId="0" borderId="0" xfId="0" applyNumberFormat="1" applyFont="1" applyAlignment="1">
      <alignment vertical="center"/>
    </xf>
    <xf numFmtId="0" fontId="3" fillId="5" borderId="0" xfId="0" applyNumberFormat="1" applyFont="1" applyFill="1" applyBorder="1" applyAlignment="1">
      <alignment horizontal="right" vertical="center"/>
    </xf>
    <xf numFmtId="0" fontId="3" fillId="0" borderId="0" xfId="0" applyNumberFormat="1" applyFont="1" applyBorder="1" applyAlignment="1">
      <alignment horizontal="right" vertical="center"/>
    </xf>
    <xf numFmtId="0" fontId="9" fillId="2" borderId="0" xfId="0" applyNumberFormat="1" applyFont="1" applyFill="1" applyBorder="1" applyAlignment="1">
      <alignment horizontal="left" vertical="center"/>
    </xf>
    <xf numFmtId="0" fontId="3" fillId="0" borderId="0" xfId="0" applyNumberFormat="1" applyFont="1" applyBorder="1" applyAlignment="1">
      <alignment horizontal="right"/>
    </xf>
    <xf numFmtId="0" fontId="3" fillId="0" borderId="0" xfId="0" applyNumberFormat="1" applyFont="1" applyBorder="1"/>
    <xf numFmtId="0" fontId="3" fillId="2" borderId="0" xfId="0" applyNumberFormat="1" applyFont="1" applyFill="1" applyBorder="1" applyAlignment="1">
      <alignment horizontal="left" vertical="center"/>
    </xf>
    <xf numFmtId="2" fontId="3" fillId="0" borderId="0" xfId="0" applyNumberFormat="1" applyFont="1" applyAlignment="1">
      <alignment horizontal="right"/>
    </xf>
    <xf numFmtId="0" fontId="3" fillId="0" borderId="0" xfId="0" applyNumberFormat="1" applyFont="1" applyFill="1" applyAlignment="1">
      <alignment vertical="center"/>
    </xf>
    <xf numFmtId="0" fontId="3" fillId="0" borderId="1" xfId="0" applyFont="1" applyBorder="1" applyAlignment="1">
      <alignment horizontal="center"/>
    </xf>
    <xf numFmtId="0" fontId="3" fillId="0" borderId="0" xfId="0" applyFont="1" applyBorder="1" applyAlignment="1">
      <alignment horizontal="center"/>
    </xf>
    <xf numFmtId="0" fontId="3" fillId="5" borderId="0" xfId="0" applyNumberFormat="1" applyFont="1" applyFill="1" applyAlignment="1">
      <alignment horizontal="right"/>
    </xf>
    <xf numFmtId="176" fontId="3" fillId="0" borderId="0" xfId="0" applyNumberFormat="1" applyFont="1" applyFill="1" applyAlignment="1">
      <alignment horizontal="left" vertical="center"/>
    </xf>
    <xf numFmtId="176" fontId="3" fillId="0" borderId="0" xfId="1" applyNumberFormat="1" applyFont="1" applyFill="1" applyAlignment="1">
      <alignment horizontal="left" vertical="center"/>
    </xf>
    <xf numFmtId="176" fontId="3" fillId="0" borderId="0" xfId="0" applyNumberFormat="1" applyFont="1" applyAlignment="1">
      <alignment horizontal="right"/>
    </xf>
    <xf numFmtId="176" fontId="3" fillId="0" borderId="0" xfId="0" applyNumberFormat="1" applyFont="1" applyFill="1" applyAlignment="1">
      <alignment horizontal="right" vertical="center"/>
    </xf>
    <xf numFmtId="176" fontId="3" fillId="0" borderId="0" xfId="0" applyNumberFormat="1" applyFont="1" applyBorder="1" applyAlignment="1">
      <alignment horizontal="right" vertical="center"/>
    </xf>
    <xf numFmtId="176" fontId="3" fillId="0" borderId="0" xfId="0" applyNumberFormat="1" applyFont="1" applyAlignment="1">
      <alignment horizontal="right" vertical="center"/>
    </xf>
    <xf numFmtId="176" fontId="3" fillId="5" borderId="0" xfId="0" applyNumberFormat="1" applyFont="1" applyFill="1" applyAlignment="1">
      <alignment horizontal="right" vertical="center"/>
    </xf>
    <xf numFmtId="0" fontId="3" fillId="2" borderId="0" xfId="0" applyNumberFormat="1" applyFont="1" applyFill="1" applyBorder="1" applyAlignment="1">
      <alignment horizontal="right" vertical="center"/>
    </xf>
    <xf numFmtId="180" fontId="3" fillId="0" borderId="0" xfId="0" applyNumberFormat="1" applyFont="1" applyFill="1" applyAlignment="1">
      <alignment horizontal="right" vertical="center"/>
    </xf>
    <xf numFmtId="0" fontId="3" fillId="0" borderId="0" xfId="0" applyNumberFormat="1" applyFont="1" applyAlignment="1">
      <alignment horizontal="left"/>
    </xf>
    <xf numFmtId="0" fontId="3" fillId="2" borderId="0" xfId="1" applyNumberFormat="1" applyFont="1" applyFill="1" applyBorder="1" applyAlignment="1">
      <alignment horizontal="left"/>
    </xf>
    <xf numFmtId="2" fontId="3" fillId="0" borderId="0" xfId="1" applyNumberFormat="1" applyFont="1" applyFill="1" applyAlignment="1">
      <alignment horizontal="right"/>
    </xf>
    <xf numFmtId="2" fontId="3" fillId="0" borderId="0" xfId="0" applyNumberFormat="1" applyFont="1" applyAlignment="1">
      <alignment horizontal="right" vertical="center"/>
    </xf>
    <xf numFmtId="2" fontId="3" fillId="5" borderId="0" xfId="0" applyNumberFormat="1" applyFont="1" applyFill="1" applyAlignment="1">
      <alignment horizontal="right" vertical="center"/>
    </xf>
    <xf numFmtId="176" fontId="3" fillId="0" borderId="0" xfId="1" applyNumberFormat="1" applyFont="1" applyFill="1" applyAlignment="1">
      <alignment horizontal="right"/>
    </xf>
    <xf numFmtId="0" fontId="3" fillId="0" borderId="0" xfId="1" applyNumberFormat="1" applyFont="1" applyFill="1" applyAlignment="1">
      <alignment horizontal="right" vertical="center"/>
    </xf>
    <xf numFmtId="0" fontId="3" fillId="2" borderId="0" xfId="1" applyNumberFormat="1" applyFont="1" applyFill="1" applyBorder="1" applyAlignment="1">
      <alignment horizontal="left" vertical="center"/>
    </xf>
    <xf numFmtId="176" fontId="3" fillId="0" borderId="0" xfId="1" applyNumberFormat="1" applyFont="1" applyFill="1" applyAlignment="1">
      <alignment horizontal="right" vertical="center"/>
    </xf>
    <xf numFmtId="0" fontId="3" fillId="0" borderId="0" xfId="0" applyNumberFormat="1" applyFont="1" applyFill="1" applyBorder="1" applyAlignment="1">
      <alignment horizontal="right" vertical="center"/>
    </xf>
    <xf numFmtId="0" fontId="6" fillId="0" borderId="0" xfId="0" applyNumberFormat="1" applyFont="1"/>
    <xf numFmtId="176" fontId="3" fillId="5" borderId="0" xfId="1" applyNumberFormat="1" applyFont="1" applyFill="1" applyAlignment="1">
      <alignment horizontal="right"/>
    </xf>
    <xf numFmtId="0" fontId="3" fillId="0" borderId="0" xfId="0" applyFont="1" applyAlignment="1">
      <alignment horizontal="right"/>
    </xf>
    <xf numFmtId="0" fontId="6" fillId="0" borderId="0" xfId="0" applyFont="1"/>
    <xf numFmtId="14" fontId="3" fillId="0" borderId="0" xfId="0" applyNumberFormat="1" applyFont="1" applyAlignment="1">
      <alignment horizontal="left"/>
    </xf>
    <xf numFmtId="0" fontId="3" fillId="0" borderId="2" xfId="0" applyFont="1" applyBorder="1"/>
    <xf numFmtId="0" fontId="3" fillId="0" borderId="3" xfId="0" applyFont="1" applyBorder="1"/>
    <xf numFmtId="0" fontId="3" fillId="0" borderId="5" xfId="0" applyFont="1" applyBorder="1"/>
    <xf numFmtId="2" fontId="3" fillId="0" borderId="7" xfId="0" applyNumberFormat="1" applyFont="1" applyBorder="1"/>
    <xf numFmtId="176" fontId="3" fillId="0" borderId="7" xfId="0" applyNumberFormat="1" applyFont="1" applyBorder="1"/>
    <xf numFmtId="0" fontId="3" fillId="0" borderId="9" xfId="0" applyFont="1" applyBorder="1"/>
    <xf numFmtId="0" fontId="3" fillId="0" borderId="11" xfId="0" applyFont="1" applyBorder="1" applyAlignment="1">
      <alignment horizontal="center"/>
    </xf>
    <xf numFmtId="0" fontId="6" fillId="0" borderId="0" xfId="0" applyFont="1" applyBorder="1" applyAlignment="1">
      <alignment horizontal="center"/>
    </xf>
    <xf numFmtId="0" fontId="6" fillId="0" borderId="0" xfId="0" applyFont="1" applyBorder="1" applyAlignment="1">
      <alignment horizontal="right"/>
    </xf>
    <xf numFmtId="0" fontId="3" fillId="0" borderId="6" xfId="0" applyFont="1" applyBorder="1" applyAlignment="1">
      <alignment horizontal="center"/>
    </xf>
    <xf numFmtId="2" fontId="3" fillId="0" borderId="3" xfId="0" applyNumberFormat="1" applyFont="1" applyBorder="1"/>
    <xf numFmtId="176" fontId="3" fillId="0" borderId="3" xfId="0" applyNumberFormat="1" applyFont="1" applyBorder="1"/>
    <xf numFmtId="0" fontId="3" fillId="0" borderId="12" xfId="0" applyFont="1" applyBorder="1"/>
    <xf numFmtId="0" fontId="3" fillId="0" borderId="13" xfId="0" applyFont="1" applyBorder="1"/>
    <xf numFmtId="2" fontId="3" fillId="0" borderId="5" xfId="0" applyNumberFormat="1" applyFont="1" applyBorder="1"/>
    <xf numFmtId="2" fontId="3" fillId="0" borderId="6" xfId="0" applyNumberFormat="1" applyFont="1" applyBorder="1"/>
    <xf numFmtId="2" fontId="3" fillId="0" borderId="8" xfId="0" applyNumberFormat="1" applyFont="1" applyBorder="1"/>
    <xf numFmtId="0" fontId="3" fillId="0" borderId="12" xfId="0" applyFont="1" applyBorder="1" applyAlignment="1">
      <alignment horizontal="center"/>
    </xf>
    <xf numFmtId="176" fontId="3" fillId="0" borderId="2" xfId="0" applyNumberFormat="1" applyFont="1" applyBorder="1"/>
    <xf numFmtId="176" fontId="3" fillId="0" borderId="5" xfId="0" applyNumberFormat="1" applyFont="1" applyBorder="1"/>
    <xf numFmtId="176" fontId="3" fillId="0" borderId="12" xfId="0" applyNumberFormat="1" applyFont="1" applyBorder="1"/>
    <xf numFmtId="176" fontId="3" fillId="0" borderId="6" xfId="0" applyNumberFormat="1" applyFont="1" applyBorder="1"/>
    <xf numFmtId="176" fontId="3" fillId="0" borderId="13" xfId="0" applyNumberFormat="1" applyFont="1" applyBorder="1"/>
    <xf numFmtId="176" fontId="3" fillId="0" borderId="8" xfId="0" applyNumberFormat="1" applyFont="1" applyBorder="1"/>
    <xf numFmtId="0" fontId="3" fillId="0" borderId="0" xfId="0" applyFont="1" applyAlignment="1">
      <alignment vertical="center" wrapText="1"/>
    </xf>
    <xf numFmtId="0" fontId="3" fillId="0" borderId="3" xfId="0" applyFont="1" applyBorder="1" applyAlignment="1">
      <alignment horizontal="center"/>
    </xf>
    <xf numFmtId="0" fontId="3" fillId="0" borderId="0" xfId="0" applyFont="1" applyAlignment="1">
      <alignment horizontal="left" vertical="center"/>
    </xf>
    <xf numFmtId="0" fontId="3" fillId="0" borderId="0" xfId="0" applyFont="1" applyBorder="1" applyAlignment="1">
      <alignment horizontal="left"/>
    </xf>
    <xf numFmtId="0" fontId="3" fillId="5" borderId="0" xfId="0" applyNumberFormat="1" applyFont="1" applyFill="1"/>
    <xf numFmtId="0" fontId="6" fillId="0" borderId="0" xfId="0" applyFont="1" applyAlignment="1">
      <alignment vertical="center" wrapText="1"/>
    </xf>
    <xf numFmtId="0" fontId="0" fillId="0" borderId="3" xfId="0" applyBorder="1"/>
    <xf numFmtId="0" fontId="0" fillId="0" borderId="5" xfId="0" applyBorder="1"/>
    <xf numFmtId="0" fontId="3" fillId="0" borderId="13" xfId="0" applyFont="1" applyBorder="1" applyAlignment="1">
      <alignment horizontal="left"/>
    </xf>
    <xf numFmtId="0" fontId="6" fillId="0" borderId="7" xfId="0" applyFont="1" applyBorder="1"/>
    <xf numFmtId="0" fontId="6" fillId="0" borderId="7" xfId="0" applyFont="1" applyFill="1" applyBorder="1"/>
    <xf numFmtId="10" fontId="3" fillId="0" borderId="5" xfId="2" applyNumberFormat="1" applyFont="1" applyBorder="1" applyAlignment="1"/>
    <xf numFmtId="10" fontId="3" fillId="0" borderId="6" xfId="2" applyNumberFormat="1" applyFont="1" applyBorder="1" applyAlignment="1"/>
    <xf numFmtId="10" fontId="3" fillId="0" borderId="8" xfId="2" applyNumberFormat="1" applyFont="1" applyBorder="1" applyAlignment="1"/>
    <xf numFmtId="14" fontId="3" fillId="0" borderId="0" xfId="0" applyNumberFormat="1" applyFont="1"/>
    <xf numFmtId="0" fontId="12" fillId="0" borderId="0" xfId="0" applyFont="1"/>
    <xf numFmtId="0" fontId="6" fillId="0" borderId="11" xfId="0" applyFont="1" applyBorder="1" applyAlignment="1">
      <alignment horizontal="center"/>
    </xf>
    <xf numFmtId="0" fontId="12" fillId="4" borderId="0" xfId="0" applyFont="1" applyFill="1"/>
    <xf numFmtId="0" fontId="6" fillId="4" borderId="0" xfId="0" applyFont="1" applyFill="1"/>
    <xf numFmtId="10" fontId="3" fillId="0" borderId="3" xfId="2" applyNumberFormat="1" applyFont="1" applyBorder="1" applyAlignment="1"/>
    <xf numFmtId="10" fontId="3" fillId="0" borderId="0" xfId="2" applyNumberFormat="1" applyFont="1" applyBorder="1" applyAlignment="1"/>
    <xf numFmtId="10" fontId="3" fillId="0" borderId="7" xfId="2" applyNumberFormat="1" applyFont="1" applyBorder="1" applyAlignment="1"/>
    <xf numFmtId="180" fontId="3" fillId="0" borderId="3" xfId="0" applyNumberFormat="1" applyFont="1" applyBorder="1"/>
    <xf numFmtId="180" fontId="3" fillId="0" borderId="0" xfId="0" applyNumberFormat="1" applyFont="1" applyBorder="1"/>
    <xf numFmtId="180" fontId="3" fillId="0" borderId="7" xfId="0" applyNumberFormat="1" applyFont="1" applyBorder="1"/>
    <xf numFmtId="0" fontId="6" fillId="0" borderId="12" xfId="0" applyFont="1" applyFill="1" applyBorder="1" applyAlignment="1">
      <alignment horizontal="center"/>
    </xf>
    <xf numFmtId="176" fontId="3" fillId="0" borderId="2" xfId="0" applyNumberFormat="1" applyFont="1" applyFill="1" applyBorder="1"/>
    <xf numFmtId="176" fontId="3" fillId="0" borderId="12" xfId="0" applyNumberFormat="1" applyFont="1" applyFill="1" applyBorder="1"/>
    <xf numFmtId="176" fontId="3" fillId="0" borderId="13" xfId="0" applyNumberFormat="1" applyFont="1" applyFill="1" applyBorder="1"/>
    <xf numFmtId="0" fontId="6" fillId="0" borderId="0" xfId="0" applyFont="1" applyAlignment="1">
      <alignment horizontal="right"/>
    </xf>
    <xf numFmtId="0" fontId="6" fillId="0" borderId="7" xfId="0" applyFont="1" applyBorder="1" applyAlignment="1">
      <alignment horizontal="center"/>
    </xf>
    <xf numFmtId="0" fontId="6" fillId="0" borderId="8" xfId="0" applyFont="1" applyBorder="1" applyAlignment="1">
      <alignment horizontal="center"/>
    </xf>
    <xf numFmtId="176" fontId="11" fillId="0" borderId="2" xfId="0" applyNumberFormat="1" applyFont="1" applyBorder="1"/>
    <xf numFmtId="176" fontId="11" fillId="0" borderId="12" xfId="0" applyNumberFormat="1" applyFont="1" applyBorder="1"/>
    <xf numFmtId="176" fontId="11" fillId="0" borderId="13" xfId="0" applyNumberFormat="1" applyFont="1" applyBorder="1"/>
    <xf numFmtId="0" fontId="11" fillId="0" borderId="13" xfId="0" applyFont="1" applyBorder="1" applyAlignment="1">
      <alignment horizontal="center"/>
    </xf>
    <xf numFmtId="0" fontId="3" fillId="4" borderId="5" xfId="0" applyFont="1" applyFill="1" applyBorder="1"/>
    <xf numFmtId="0" fontId="3" fillId="4" borderId="3" xfId="0" applyFont="1" applyFill="1" applyBorder="1"/>
    <xf numFmtId="176" fontId="3" fillId="4" borderId="2" xfId="0" applyNumberFormat="1" applyFont="1" applyFill="1" applyBorder="1"/>
    <xf numFmtId="10" fontId="3" fillId="4" borderId="5" xfId="2" applyNumberFormat="1" applyFont="1" applyFill="1" applyBorder="1" applyAlignment="1"/>
    <xf numFmtId="10" fontId="3" fillId="4" borderId="6" xfId="2" applyNumberFormat="1" applyFont="1" applyFill="1" applyBorder="1" applyAlignment="1"/>
    <xf numFmtId="176" fontId="3" fillId="4" borderId="12" xfId="0" applyNumberFormat="1" applyFont="1" applyFill="1" applyBorder="1"/>
    <xf numFmtId="176" fontId="3" fillId="4" borderId="13" xfId="0" applyNumberFormat="1" applyFont="1" applyFill="1" applyBorder="1"/>
    <xf numFmtId="10" fontId="3" fillId="4" borderId="8" xfId="2" applyNumberFormat="1" applyFont="1" applyFill="1" applyBorder="1" applyAlignment="1"/>
    <xf numFmtId="0" fontId="6" fillId="4" borderId="6" xfId="0" applyFont="1" applyFill="1" applyBorder="1" applyAlignment="1">
      <alignment horizontal="center"/>
    </xf>
    <xf numFmtId="10" fontId="3" fillId="4" borderId="6" xfId="2" applyNumberFormat="1" applyFont="1" applyFill="1" applyBorder="1" applyAlignment="1">
      <alignment horizontal="right"/>
    </xf>
    <xf numFmtId="0" fontId="6" fillId="0" borderId="0" xfId="0" applyFont="1" applyFill="1" applyBorder="1" applyAlignment="1">
      <alignment horizontal="right"/>
    </xf>
    <xf numFmtId="0" fontId="0" fillId="0" borderId="0" xfId="0" applyBorder="1"/>
    <xf numFmtId="0" fontId="6" fillId="4" borderId="0" xfId="0" applyFont="1" applyFill="1" applyBorder="1" applyAlignment="1">
      <alignment horizontal="center"/>
    </xf>
    <xf numFmtId="180" fontId="3" fillId="4" borderId="2" xfId="2" applyNumberFormat="1" applyFont="1" applyFill="1" applyBorder="1" applyAlignment="1"/>
    <xf numFmtId="180" fontId="3" fillId="4" borderId="12" xfId="2" applyNumberFormat="1" applyFont="1" applyFill="1" applyBorder="1" applyAlignment="1"/>
    <xf numFmtId="180" fontId="3" fillId="4" borderId="13" xfId="2" applyNumberFormat="1" applyFont="1" applyFill="1" applyBorder="1" applyAlignment="1"/>
    <xf numFmtId="10" fontId="3" fillId="4" borderId="8" xfId="2" applyNumberFormat="1" applyFont="1" applyFill="1" applyBorder="1" applyAlignment="1">
      <alignment horizontal="right"/>
    </xf>
    <xf numFmtId="0" fontId="6" fillId="0" borderId="8" xfId="0" applyFont="1" applyFill="1" applyBorder="1" applyAlignment="1">
      <alignment horizontal="right"/>
    </xf>
    <xf numFmtId="0" fontId="6" fillId="0" borderId="0" xfId="0" applyFont="1" applyBorder="1"/>
    <xf numFmtId="0" fontId="3" fillId="0" borderId="11" xfId="0" applyFont="1" applyBorder="1" applyAlignment="1">
      <alignment horizontal="left"/>
    </xf>
    <xf numFmtId="0" fontId="3" fillId="0" borderId="10" xfId="0" applyFont="1" applyBorder="1"/>
    <xf numFmtId="0" fontId="3" fillId="0" borderId="11" xfId="0" applyFont="1" applyBorder="1"/>
    <xf numFmtId="176" fontId="0" fillId="0" borderId="0" xfId="0" applyNumberFormat="1"/>
    <xf numFmtId="180" fontId="3" fillId="0" borderId="0" xfId="0" applyNumberFormat="1" applyFont="1"/>
    <xf numFmtId="10" fontId="3" fillId="0" borderId="0" xfId="2" applyNumberFormat="1" applyFont="1" applyFill="1" applyAlignment="1"/>
    <xf numFmtId="10" fontId="6" fillId="0" borderId="0" xfId="0" applyNumberFormat="1" applyFont="1"/>
    <xf numFmtId="10" fontId="3" fillId="0" borderId="10" xfId="0" applyNumberFormat="1" applyFont="1" applyBorder="1"/>
    <xf numFmtId="10" fontId="3" fillId="0" borderId="11" xfId="0" applyNumberFormat="1" applyFont="1" applyBorder="1"/>
    <xf numFmtId="9" fontId="3" fillId="0" borderId="14" xfId="0" applyNumberFormat="1" applyFont="1" applyBorder="1"/>
    <xf numFmtId="9" fontId="3" fillId="0" borderId="15" xfId="0" applyNumberFormat="1" applyFont="1" applyBorder="1"/>
    <xf numFmtId="9" fontId="3" fillId="0" borderId="16" xfId="0" applyNumberFormat="1" applyFont="1" applyBorder="1"/>
    <xf numFmtId="10" fontId="3" fillId="0" borderId="2" xfId="2" applyNumberFormat="1" applyFont="1" applyBorder="1" applyAlignment="1"/>
    <xf numFmtId="10" fontId="3" fillId="0" borderId="3" xfId="2" applyNumberFormat="1" applyFont="1" applyFill="1" applyBorder="1" applyAlignment="1"/>
    <xf numFmtId="10" fontId="3" fillId="0" borderId="12" xfId="2" applyNumberFormat="1" applyFont="1" applyBorder="1" applyAlignment="1"/>
    <xf numFmtId="10" fontId="3" fillId="0" borderId="0" xfId="2" applyNumberFormat="1" applyFont="1" applyFill="1" applyBorder="1" applyAlignment="1"/>
    <xf numFmtId="10" fontId="3" fillId="0" borderId="13" xfId="2" applyNumberFormat="1" applyFont="1" applyBorder="1" applyAlignment="1"/>
    <xf numFmtId="10" fontId="3" fillId="0" borderId="7" xfId="2" applyNumberFormat="1" applyFont="1" applyFill="1" applyBorder="1" applyAlignment="1"/>
    <xf numFmtId="0" fontId="13" fillId="0" borderId="0" xfId="0" applyFont="1"/>
    <xf numFmtId="176" fontId="3" fillId="0" borderId="0" xfId="2" applyNumberFormat="1" applyFont="1" applyAlignment="1"/>
    <xf numFmtId="10" fontId="13" fillId="0" borderId="0" xfId="0" applyNumberFormat="1" applyFont="1"/>
    <xf numFmtId="10" fontId="13" fillId="0" borderId="0" xfId="2" applyNumberFormat="1" applyFont="1" applyAlignment="1"/>
    <xf numFmtId="10" fontId="13" fillId="0" borderId="0" xfId="2" applyNumberFormat="1" applyFont="1" applyFill="1" applyAlignment="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2" xfId="0" applyFont="1" applyFill="1" applyBorder="1" applyAlignment="1">
      <alignment horizontal="center" wrapText="1"/>
    </xf>
    <xf numFmtId="0" fontId="6" fillId="0" borderId="12" xfId="0" applyFont="1" applyFill="1" applyBorder="1" applyAlignment="1">
      <alignment horizontal="center" wrapText="1"/>
    </xf>
    <xf numFmtId="0" fontId="6" fillId="0" borderId="3" xfId="0" applyFont="1" applyFill="1" applyBorder="1" applyAlignment="1">
      <alignment horizontal="center" wrapText="1"/>
    </xf>
    <xf numFmtId="0" fontId="6" fillId="0" borderId="7" xfId="0" applyFont="1" applyFill="1" applyBorder="1" applyAlignment="1">
      <alignment horizontal="center" wrapText="1"/>
    </xf>
    <xf numFmtId="0" fontId="6" fillId="0" borderId="5" xfId="0" applyFont="1" applyFill="1" applyBorder="1" applyAlignment="1">
      <alignment horizontal="center" wrapText="1"/>
    </xf>
    <xf numFmtId="0" fontId="6" fillId="0" borderId="8" xfId="0" applyFont="1" applyFill="1" applyBorder="1" applyAlignment="1">
      <alignment horizontal="center" wrapText="1"/>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11" xfId="0" applyNumberFormat="1" applyFont="1" applyBorder="1" applyAlignment="1">
      <alignment horizontal="center" vertical="center" wrapText="1"/>
    </xf>
    <xf numFmtId="0" fontId="8" fillId="0" borderId="0" xfId="0" applyFont="1" applyAlignment="1">
      <alignment horizontal="center" vertical="center"/>
    </xf>
    <xf numFmtId="0" fontId="6" fillId="4" borderId="2" xfId="0" applyFont="1" applyFill="1" applyBorder="1" applyAlignment="1">
      <alignment horizontal="center" wrapText="1"/>
    </xf>
    <xf numFmtId="0" fontId="6" fillId="4" borderId="13" xfId="0" applyFont="1" applyFill="1" applyBorder="1" applyAlignment="1">
      <alignment horizont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0" borderId="4" xfId="0" applyFont="1" applyBorder="1" applyAlignment="1">
      <alignment horizontal="center"/>
    </xf>
    <xf numFmtId="0" fontId="3" fillId="0" borderId="3" xfId="0" applyFont="1" applyBorder="1" applyAlignment="1">
      <alignment horizontal="center"/>
    </xf>
    <xf numFmtId="0" fontId="6" fillId="0" borderId="0" xfId="0" applyFont="1" applyAlignment="1">
      <alignment horizontal="left" vertical="center" wrapText="1"/>
    </xf>
    <xf numFmtId="0" fontId="6" fillId="0" borderId="2" xfId="0" applyFont="1" applyBorder="1" applyAlignment="1">
      <alignment horizontal="center"/>
    </xf>
    <xf numFmtId="0" fontId="3" fillId="0" borderId="5" xfId="0" applyFont="1" applyBorder="1" applyAlignment="1">
      <alignment horizontal="center"/>
    </xf>
    <xf numFmtId="176" fontId="14" fillId="0" borderId="3" xfId="0" applyNumberFormat="1" applyFont="1" applyFill="1" applyBorder="1"/>
    <xf numFmtId="176" fontId="14" fillId="0" borderId="0" xfId="0" applyNumberFormat="1" applyFont="1" applyFill="1" applyBorder="1"/>
    <xf numFmtId="176" fontId="14" fillId="0" borderId="7" xfId="0" applyNumberFormat="1" applyFont="1" applyFill="1" applyBorder="1"/>
    <xf numFmtId="10" fontId="0" fillId="0" borderId="0" xfId="2" applyNumberFormat="1" applyFont="1" applyAlignment="1"/>
    <xf numFmtId="0" fontId="3" fillId="0" borderId="10" xfId="0" applyFont="1" applyFill="1" applyBorder="1"/>
    <xf numFmtId="10" fontId="14" fillId="0" borderId="3" xfId="2" applyNumberFormat="1" applyFont="1" applyFill="1" applyBorder="1" applyAlignment="1"/>
    <xf numFmtId="10" fontId="14" fillId="0" borderId="0" xfId="2" applyNumberFormat="1" applyFont="1" applyFill="1" applyBorder="1" applyAlignment="1"/>
    <xf numFmtId="10" fontId="14" fillId="0" borderId="7" xfId="2" applyNumberFormat="1" applyFont="1" applyFill="1" applyBorder="1" applyAlignment="1"/>
    <xf numFmtId="10" fontId="0" fillId="0" borderId="0" xfId="0" applyNumberFormat="1"/>
    <xf numFmtId="176" fontId="0" fillId="0" borderId="0" xfId="2" applyNumberFormat="1" applyFont="1" applyAlignment="1"/>
    <xf numFmtId="0" fontId="6" fillId="0" borderId="10" xfId="0" applyFont="1" applyBorder="1"/>
    <xf numFmtId="0" fontId="6" fillId="0" borderId="10" xfId="0" applyFont="1" applyFill="1" applyBorder="1"/>
    <xf numFmtId="0" fontId="16" fillId="6" borderId="8" xfId="0" applyFont="1" applyFill="1" applyBorder="1" applyAlignment="1">
      <alignment horizontal="center" vertical="center" wrapText="1"/>
    </xf>
    <xf numFmtId="0" fontId="17" fillId="6" borderId="7" xfId="0" applyFont="1" applyFill="1" applyBorder="1" applyAlignment="1">
      <alignment horizontal="center" vertical="center" wrapText="1"/>
    </xf>
    <xf numFmtId="0" fontId="18" fillId="0" borderId="6" xfId="0" applyFont="1" applyBorder="1" applyAlignment="1">
      <alignment horizontal="center" vertical="center" wrapText="1"/>
    </xf>
    <xf numFmtId="181" fontId="19" fillId="0" borderId="0" xfId="2" applyNumberFormat="1" applyFont="1" applyAlignment="1">
      <alignment horizontal="right" vertical="center" wrapText="1"/>
    </xf>
    <xf numFmtId="181" fontId="19" fillId="0" borderId="0" xfId="2" applyNumberFormat="1" applyFont="1" applyBorder="1" applyAlignment="1">
      <alignment horizontal="right" vertical="center" wrapText="1"/>
    </xf>
    <xf numFmtId="0" fontId="20" fillId="0" borderId="8" xfId="0" applyFont="1" applyBorder="1" applyAlignment="1">
      <alignment horizontal="center" vertical="center" wrapText="1"/>
    </xf>
    <xf numFmtId="181" fontId="21" fillId="0" borderId="7" xfId="2" applyNumberFormat="1" applyFont="1" applyBorder="1" applyAlignment="1">
      <alignment horizontal="right" vertical="center" wrapText="1"/>
    </xf>
    <xf numFmtId="0" fontId="20" fillId="0" borderId="8" xfId="0" applyFont="1" applyFill="1" applyBorder="1" applyAlignment="1">
      <alignment horizontal="center" vertical="center" wrapText="1"/>
    </xf>
    <xf numFmtId="0" fontId="18" fillId="0" borderId="5" xfId="0" applyFont="1" applyBorder="1" applyAlignment="1">
      <alignment horizontal="center" vertical="center" wrapText="1"/>
    </xf>
    <xf numFmtId="189" fontId="0" fillId="0" borderId="0" xfId="0" applyNumberFormat="1"/>
    <xf numFmtId="181" fontId="11" fillId="0" borderId="7" xfId="2" applyNumberFormat="1" applyFont="1" applyBorder="1" applyAlignment="1"/>
    <xf numFmtId="191" fontId="0" fillId="0" borderId="0" xfId="2" applyNumberFormat="1" applyFont="1" applyAlignment="1"/>
    <xf numFmtId="189" fontId="19" fillId="0" borderId="0" xfId="2" applyNumberFormat="1" applyFont="1" applyAlignment="1">
      <alignment horizontal="right" vertical="center" wrapText="1"/>
    </xf>
    <xf numFmtId="189" fontId="19" fillId="0" borderId="0" xfId="2" applyNumberFormat="1" applyFont="1" applyBorder="1" applyAlignment="1">
      <alignment horizontal="right" vertical="center" wrapText="1"/>
    </xf>
    <xf numFmtId="189" fontId="21" fillId="0" borderId="7" xfId="2" applyNumberFormat="1" applyFont="1" applyBorder="1" applyAlignment="1">
      <alignment horizontal="right" vertical="center" wrapText="1"/>
    </xf>
    <xf numFmtId="189" fontId="11" fillId="0" borderId="7" xfId="2" applyNumberFormat="1" applyFont="1" applyBorder="1" applyAlignment="1"/>
    <xf numFmtId="189" fontId="0" fillId="0" borderId="0" xfId="2" applyNumberFormat="1" applyFont="1" applyAlignment="1"/>
    <xf numFmtId="0" fontId="0" fillId="0" borderId="0" xfId="0" applyNumberFormat="1"/>
  </cellXfs>
  <cellStyles count="3">
    <cellStyle name="百分比" xfId="2" builtinId="5"/>
    <cellStyle name="常规" xfId="0" builtinId="0"/>
    <cellStyle name="常规 2" xfId="1"/>
  </cellStyles>
  <dxfs count="10">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s_stm07_bs"/>
      <definedName name="s_stm07_is"/>
      <definedName name="s_stmnote_bank"/>
      <definedName name="s_stmnote_bank_1n"/>
      <definedName name="s_stmnote_bank_22n"/>
      <definedName name="to_tradecode"/>
    </definedNames>
    <sheetDataSet>
      <sheetData sheetId="0"/>
      <sheetData sheetId="1"/>
      <sheetData sheetId="2"/>
    </sheetDataSet>
  </externalBook>
</externalLink>
</file>

<file path=xl/tables/table1.xml><?xml version="1.0" encoding="utf-8"?>
<table xmlns="http://schemas.openxmlformats.org/spreadsheetml/2006/main" id="2" name="表2" displayName="表2" ref="A3:B7" totalsRowShown="0" headerRowDxfId="9" dataDxfId="8">
  <autoFilter ref="A3:B7">
    <filterColumn colId="0" hiddenButton="1"/>
    <filterColumn colId="1" hiddenButton="1"/>
  </autoFilter>
  <tableColumns count="2">
    <tableColumn id="1" name="假设：类信贷非标资产占“资管、信托或其他非标资产”的比重" dataDxfId="7"/>
    <tableColumn id="2" name=" " dataDxfId="6"/>
  </tableColumns>
  <tableStyleInfo name="TableStyleLight9" showFirstColumn="0" showLastColumn="0" showRowStripes="1" showColumnStripes="0"/>
</table>
</file>

<file path=xl/tables/table2.xml><?xml version="1.0" encoding="utf-8"?>
<table xmlns="http://schemas.openxmlformats.org/spreadsheetml/2006/main" id="3" name="表3" displayName="表3" ref="D3:E8" totalsRowShown="0" headerRowDxfId="5" dataDxfId="4">
  <autoFilter ref="D3:E8">
    <filterColumn colId="0" hiddenButton="1"/>
    <filterColumn colId="1" hiddenButton="1"/>
  </autoFilter>
  <tableColumns count="2">
    <tableColumn id="1" name="分类" dataDxfId="3"/>
    <tableColumn id="2" name="不良贷款拨备计提指导标准"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J39"/>
  <sheetViews>
    <sheetView showGridLines="0" topLeftCell="B1" workbookViewId="0">
      <selection activeCell="F10" sqref="F10:F34"/>
    </sheetView>
  </sheetViews>
  <sheetFormatPr defaultRowHeight="13.9" x14ac:dyDescent="0.4"/>
  <cols>
    <col min="1" max="1" width="2.46484375" customWidth="1"/>
    <col min="4" max="4" width="13" customWidth="1"/>
    <col min="5" max="5" width="16" customWidth="1"/>
    <col min="6" max="6" width="18.3984375" bestFit="1" customWidth="1"/>
    <col min="7" max="7" width="12.86328125" customWidth="1"/>
    <col min="8" max="8" width="11.59765625" bestFit="1" customWidth="1"/>
    <col min="9" max="9" width="10.73046875" customWidth="1"/>
  </cols>
  <sheetData>
    <row r="1" spans="2:10" ht="13.5" customHeight="1" x14ac:dyDescent="0.4"/>
    <row r="2" spans="2:10" s="69" customFormat="1" ht="13.5" x14ac:dyDescent="0.3">
      <c r="B2" s="112" t="s">
        <v>203</v>
      </c>
      <c r="C2" s="113"/>
      <c r="D2" s="113"/>
      <c r="E2" s="113"/>
      <c r="F2" s="113"/>
    </row>
    <row r="3" spans="2:10" s="69" customFormat="1" ht="13.5" x14ac:dyDescent="0.3">
      <c r="B3" s="110" t="s">
        <v>225</v>
      </c>
    </row>
    <row r="4" spans="2:10" s="69" customFormat="1" ht="13.5" x14ac:dyDescent="0.3">
      <c r="B4" s="69" t="s">
        <v>202</v>
      </c>
    </row>
    <row r="5" spans="2:10" s="69" customFormat="1" ht="13.5" x14ac:dyDescent="0.3">
      <c r="B5" s="69" t="s">
        <v>226</v>
      </c>
    </row>
    <row r="6" spans="2:10" s="69" customFormat="1" ht="13.5" x14ac:dyDescent="0.3">
      <c r="B6" s="69" t="s">
        <v>227</v>
      </c>
    </row>
    <row r="7" spans="2:10" s="69" customFormat="1" thickBot="1" x14ac:dyDescent="0.35">
      <c r="B7" s="69" t="s">
        <v>228</v>
      </c>
    </row>
    <row r="8" spans="2:10" x14ac:dyDescent="0.4">
      <c r="B8" s="76"/>
      <c r="C8" s="76"/>
      <c r="D8" s="101"/>
      <c r="E8" s="175" t="str">
        <f>非标类信贷!P15</f>
        <v>类信贷非标投资测算计提加总</v>
      </c>
      <c r="F8" s="177" t="s">
        <v>221</v>
      </c>
      <c r="G8" s="179" t="s">
        <v>222</v>
      </c>
      <c r="H8" s="101"/>
      <c r="I8" s="181" t="s">
        <v>218</v>
      </c>
    </row>
    <row r="9" spans="2:10" ht="14.65" thickBot="1" x14ac:dyDescent="0.45">
      <c r="B9" s="111" t="s">
        <v>208</v>
      </c>
      <c r="C9" s="150" t="s">
        <v>41</v>
      </c>
      <c r="D9" s="149" t="s">
        <v>224</v>
      </c>
      <c r="E9" s="176"/>
      <c r="F9" s="178"/>
      <c r="G9" s="180"/>
      <c r="H9" s="141" t="s">
        <v>219</v>
      </c>
      <c r="I9" s="182"/>
    </row>
    <row r="10" spans="2:10" ht="14.25" x14ac:dyDescent="0.4">
      <c r="B10" s="183" t="s">
        <v>5</v>
      </c>
      <c r="C10" s="151" t="s">
        <v>42</v>
      </c>
      <c r="D10" s="82">
        <f>非标类信贷!D16</f>
        <v>329.14600000000002</v>
      </c>
      <c r="E10" s="90">
        <f>非标类信贷!P16</f>
        <v>7.5813074817200956</v>
      </c>
      <c r="F10" s="82">
        <f>非标类信贷!U16</f>
        <v>0</v>
      </c>
      <c r="G10" s="114">
        <f>非标类信贷!V16</f>
        <v>0</v>
      </c>
      <c r="H10" s="117">
        <f>非标类信贷!W16</f>
        <v>7.5813074817200956</v>
      </c>
      <c r="I10" s="106">
        <f>非标类信贷!X16</f>
        <v>-2.4776324329945734E-3</v>
      </c>
      <c r="J10" s="153"/>
    </row>
    <row r="11" spans="2:10" ht="14.25" x14ac:dyDescent="0.4">
      <c r="B11" s="173"/>
      <c r="C11" s="151" t="s">
        <v>14</v>
      </c>
      <c r="D11" s="13">
        <f>非标类信贷!D17</f>
        <v>111.306</v>
      </c>
      <c r="E11" s="92">
        <f>非标类信贷!P17</f>
        <v>2.5651319919227764</v>
      </c>
      <c r="F11" s="13">
        <f>非标类信贷!U17</f>
        <v>17.059999999999999</v>
      </c>
      <c r="G11" s="115">
        <f>非标类信贷!V17</f>
        <v>0.15327116238118341</v>
      </c>
      <c r="H11" s="118">
        <f>非标类信贷!W17</f>
        <v>0</v>
      </c>
      <c r="I11" s="107">
        <f>非标类信贷!X17</f>
        <v>0</v>
      </c>
      <c r="J11" s="153"/>
    </row>
    <row r="12" spans="2:10" ht="14.25" x14ac:dyDescent="0.4">
      <c r="B12" s="173"/>
      <c r="C12" s="151" t="s">
        <v>15</v>
      </c>
      <c r="D12" s="13">
        <f>非标类信贷!D18</f>
        <v>110.08399999999983</v>
      </c>
      <c r="E12" s="92">
        <f>非标类信贷!P18</f>
        <v>3.0973148615711295</v>
      </c>
      <c r="F12" s="13">
        <f>非标类信贷!U18</f>
        <v>48.9</v>
      </c>
      <c r="G12" s="115">
        <f>非标类信贷!V18</f>
        <v>0.44420624250572355</v>
      </c>
      <c r="H12" s="118">
        <f>非标类信贷!W18</f>
        <v>0</v>
      </c>
      <c r="I12" s="107">
        <f>非标类信贷!X18</f>
        <v>0</v>
      </c>
      <c r="J12" s="153"/>
    </row>
    <row r="13" spans="2:10" ht="14.25" x14ac:dyDescent="0.4">
      <c r="B13" s="173"/>
      <c r="C13" s="151" t="s">
        <v>16</v>
      </c>
      <c r="D13" s="13">
        <f>非标类信贷!D19</f>
        <v>19.954000000000001</v>
      </c>
      <c r="E13" s="92">
        <f>非标类信贷!P19</f>
        <v>0.47127069908718699</v>
      </c>
      <c r="F13" s="13">
        <f>非标类信贷!U19</f>
        <v>24.59</v>
      </c>
      <c r="G13" s="115">
        <f>非标类信贷!V19</f>
        <v>1.2323343690488122</v>
      </c>
      <c r="H13" s="118">
        <f>非标类信贷!W19</f>
        <v>0</v>
      </c>
      <c r="I13" s="107">
        <f>非标类信贷!X19</f>
        <v>0</v>
      </c>
      <c r="J13" s="153"/>
    </row>
    <row r="14" spans="2:10" ht="14.65" thickBot="1" x14ac:dyDescent="0.45">
      <c r="B14" s="174"/>
      <c r="C14" s="152" t="s">
        <v>17</v>
      </c>
      <c r="D14" s="75">
        <f>非标类信贷!D20</f>
        <v>557.43200000000002</v>
      </c>
      <c r="E14" s="94">
        <f>非标类信贷!P20</f>
        <v>13.919972397468552</v>
      </c>
      <c r="F14" s="13">
        <f>非标类信贷!U20</f>
        <v>26.55</v>
      </c>
      <c r="G14" s="115">
        <f>非标类信贷!V20</f>
        <v>4.7629127857747672E-2</v>
      </c>
      <c r="H14" s="118">
        <f>非标类信贷!W20</f>
        <v>0</v>
      </c>
      <c r="I14" s="107">
        <f>非标类信贷!X20</f>
        <v>0</v>
      </c>
      <c r="J14" s="153"/>
    </row>
    <row r="15" spans="2:10" ht="14.25" x14ac:dyDescent="0.4">
      <c r="B15" s="183" t="s">
        <v>39</v>
      </c>
      <c r="C15" s="76" t="s">
        <v>18</v>
      </c>
      <c r="D15" s="82">
        <f>非标类信贷!D21</f>
        <v>2838.41</v>
      </c>
      <c r="E15" s="90">
        <f>非标类信贷!P21</f>
        <v>71.417787254663779</v>
      </c>
      <c r="F15" s="82">
        <f>非标类信贷!U21</f>
        <v>43.06</v>
      </c>
      <c r="G15" s="114">
        <f>非标类信贷!V21</f>
        <v>1.5170465154787365E-2</v>
      </c>
      <c r="H15" s="117">
        <f>非标类信贷!W21</f>
        <v>28.357787254663776</v>
      </c>
      <c r="I15" s="106">
        <f>非标类信贷!X21</f>
        <v>-3.611628830925874E-2</v>
      </c>
      <c r="J15" s="153"/>
    </row>
    <row r="16" spans="2:10" ht="14.25" x14ac:dyDescent="0.4">
      <c r="B16" s="173"/>
      <c r="C16" s="151" t="s">
        <v>19</v>
      </c>
      <c r="D16" s="13">
        <f>非标类信贷!D22</f>
        <v>3028.13</v>
      </c>
      <c r="E16" s="92">
        <f>非标类信贷!P22</f>
        <v>69.176419737309914</v>
      </c>
      <c r="F16" s="13">
        <f>非标类信贷!U22</f>
        <v>25.36</v>
      </c>
      <c r="G16" s="115">
        <f>非标类信贷!V22</f>
        <v>8.3748055730764534E-3</v>
      </c>
      <c r="H16" s="118">
        <f>非标类信贷!W22</f>
        <v>43.816419737309914</v>
      </c>
      <c r="I16" s="107">
        <f>非标类信贷!X22</f>
        <v>-9.1242388358064863E-2</v>
      </c>
      <c r="J16" s="153"/>
    </row>
    <row r="17" spans="2:10" ht="14.25" x14ac:dyDescent="0.4">
      <c r="B17" s="173"/>
      <c r="C17" s="151" t="s">
        <v>20</v>
      </c>
      <c r="D17" s="13">
        <f>非标类信贷!D23</f>
        <v>4302.8050000000003</v>
      </c>
      <c r="E17" s="92">
        <f>非标类信贷!P23</f>
        <v>115.90629217598364</v>
      </c>
      <c r="F17" s="13">
        <f>非标类信贷!U23</f>
        <v>65.2</v>
      </c>
      <c r="G17" s="115">
        <f>非标类信贷!V23</f>
        <v>1.515290606941286E-2</v>
      </c>
      <c r="H17" s="118">
        <f>非标类信贷!W23</f>
        <v>50.706292175983634</v>
      </c>
      <c r="I17" s="107">
        <f>非标类信贷!X23</f>
        <v>-9.0016495963045687E-2</v>
      </c>
      <c r="J17" s="153"/>
    </row>
    <row r="18" spans="2:10" ht="14.25" x14ac:dyDescent="0.4">
      <c r="B18" s="173"/>
      <c r="C18" s="151" t="s">
        <v>21</v>
      </c>
      <c r="D18" s="13">
        <f>非标类信贷!D24</f>
        <v>5937.3275000000003</v>
      </c>
      <c r="E18" s="92">
        <f>非标类信贷!P24</f>
        <v>147.29898716147434</v>
      </c>
      <c r="F18" s="13">
        <f>非标类信贷!U24</f>
        <v>20.32</v>
      </c>
      <c r="G18" s="115">
        <f>非标类信贷!V24</f>
        <v>3.4224152196421706E-3</v>
      </c>
      <c r="H18" s="118">
        <f>非标类信贷!W24</f>
        <v>126.97898716147435</v>
      </c>
      <c r="I18" s="107">
        <f>非标类信贷!X24</f>
        <v>-0.22603778688670315</v>
      </c>
      <c r="J18" s="153"/>
    </row>
    <row r="19" spans="2:10" ht="14.25" x14ac:dyDescent="0.4">
      <c r="B19" s="173"/>
      <c r="C19" s="151" t="s">
        <v>22</v>
      </c>
      <c r="D19" s="13">
        <f>非标类信贷!D25</f>
        <v>9212.0499999999993</v>
      </c>
      <c r="E19" s="92">
        <f>非标类信贷!P25</f>
        <v>222.22783117765621</v>
      </c>
      <c r="F19" s="13">
        <f>非标类信贷!U25</f>
        <v>159.46</v>
      </c>
      <c r="G19" s="115">
        <f>非标类信贷!V25</f>
        <v>1.7309936441942893E-2</v>
      </c>
      <c r="H19" s="118">
        <f>非标类信贷!W25</f>
        <v>62.767831177656205</v>
      </c>
      <c r="I19" s="107">
        <f>非标类信贷!X25</f>
        <v>-9.931304575433722E-2</v>
      </c>
      <c r="J19" s="153"/>
    </row>
    <row r="20" spans="2:10" ht="14.25" x14ac:dyDescent="0.4">
      <c r="B20" s="173"/>
      <c r="C20" s="151" t="s">
        <v>23</v>
      </c>
      <c r="D20" s="13">
        <f>非标类信贷!D26</f>
        <v>3200.3270000000002</v>
      </c>
      <c r="E20" s="92">
        <f>非标类信贷!P26</f>
        <v>77.079712752391501</v>
      </c>
      <c r="F20" s="13">
        <f>非标类信贷!U26</f>
        <v>20.92</v>
      </c>
      <c r="G20" s="115">
        <f>非标类信贷!V26</f>
        <v>6.5368320174782144E-3</v>
      </c>
      <c r="H20" s="118">
        <f>非标类信贷!W26</f>
        <v>56.159712752391499</v>
      </c>
      <c r="I20" s="107">
        <f>非标类信贷!X26</f>
        <v>-0.16577044911857697</v>
      </c>
      <c r="J20" s="153"/>
    </row>
    <row r="21" spans="2:10" ht="14.25" x14ac:dyDescent="0.4">
      <c r="B21" s="173"/>
      <c r="C21" s="151" t="s">
        <v>24</v>
      </c>
      <c r="D21" s="13">
        <f>非标类信贷!D27</f>
        <v>1131.8579999999999</v>
      </c>
      <c r="E21" s="92">
        <f>非标类信贷!P27</f>
        <v>27.930791256314173</v>
      </c>
      <c r="F21" s="13">
        <f>非标类信贷!U27</f>
        <v>14.73</v>
      </c>
      <c r="G21" s="115">
        <f>非标类信贷!V27</f>
        <v>1.3013999989397965E-2</v>
      </c>
      <c r="H21" s="118">
        <f>非标类信贷!W27</f>
        <v>13.200791256314172</v>
      </c>
      <c r="I21" s="107">
        <f>非标类信贷!X27</f>
        <v>-6.7104469582727588E-2</v>
      </c>
      <c r="J21" s="153"/>
    </row>
    <row r="22" spans="2:10" ht="14.65" thickBot="1" x14ac:dyDescent="0.45">
      <c r="B22" s="174"/>
      <c r="C22" s="152" t="s">
        <v>25</v>
      </c>
      <c r="D22" s="75">
        <f>非标类信贷!D28</f>
        <v>2378.922</v>
      </c>
      <c r="E22" s="94">
        <f>非标类信贷!P28</f>
        <v>61.026343575185315</v>
      </c>
      <c r="F22" s="13">
        <f>非标类信贷!U28</f>
        <v>23.55</v>
      </c>
      <c r="G22" s="115">
        <f>非标类信贷!V28</f>
        <v>9.8994418480303267E-3</v>
      </c>
      <c r="H22" s="118">
        <f>非标类信贷!W28</f>
        <v>37.476343575185311</v>
      </c>
      <c r="I22" s="107">
        <f>非标类信贷!X28</f>
        <v>-0.14926056864419829</v>
      </c>
      <c r="J22" s="153"/>
    </row>
    <row r="23" spans="2:10" ht="14.25" x14ac:dyDescent="0.4">
      <c r="B23" s="184" t="s">
        <v>52</v>
      </c>
      <c r="C23" s="76" t="s">
        <v>26</v>
      </c>
      <c r="D23" s="82">
        <f>非标类信贷!D29</f>
        <v>1328.2079999999999</v>
      </c>
      <c r="E23" s="90">
        <f>非标类信贷!P29</f>
        <v>26.674357582812902</v>
      </c>
      <c r="F23" s="82">
        <f>非标类信贷!U29</f>
        <v>97.36</v>
      </c>
      <c r="G23" s="114">
        <f>非标类信贷!V29</f>
        <v>7.3301772011612643E-2</v>
      </c>
      <c r="H23" s="117">
        <f>非标类信贷!W29</f>
        <v>0</v>
      </c>
      <c r="I23" s="106">
        <f>非标类信贷!X29</f>
        <v>0</v>
      </c>
      <c r="J23" s="153"/>
    </row>
    <row r="24" spans="2:10" ht="14.25" x14ac:dyDescent="0.4">
      <c r="B24" s="173"/>
      <c r="C24" s="151" t="s">
        <v>27</v>
      </c>
      <c r="D24" s="13">
        <f>非标类信贷!D30</f>
        <v>951.84588000000008</v>
      </c>
      <c r="E24" s="92">
        <f>非标类信贷!P30</f>
        <v>17.939583873057863</v>
      </c>
      <c r="F24" s="13">
        <f>非标类信贷!U30</f>
        <v>24.131910000000001</v>
      </c>
      <c r="G24" s="115">
        <f>非标类信贷!V30</f>
        <v>2.535274933374718E-2</v>
      </c>
      <c r="H24" s="118">
        <f>非标类信贷!W30</f>
        <v>0</v>
      </c>
      <c r="I24" s="107">
        <f>非标类信贷!X30</f>
        <v>0</v>
      </c>
      <c r="J24" s="153"/>
    </row>
    <row r="25" spans="2:10" ht="14.25" x14ac:dyDescent="0.4">
      <c r="B25" s="173"/>
      <c r="C25" s="151" t="s">
        <v>28</v>
      </c>
      <c r="D25" s="13">
        <f>非标类信贷!D31</f>
        <v>409.66578800000002</v>
      </c>
      <c r="E25" s="92">
        <f>非标类信贷!P31</f>
        <v>7.8031921350446956</v>
      </c>
      <c r="F25" s="13">
        <f>非标类信贷!U31</f>
        <v>2.4</v>
      </c>
      <c r="G25" s="115">
        <f>非标类信贷!V31</f>
        <v>5.8584340462425914E-3</v>
      </c>
      <c r="H25" s="118">
        <f>非标类信贷!W31</f>
        <v>5.4031921350446961</v>
      </c>
      <c r="I25" s="107">
        <f>非标类信贷!X31</f>
        <v>-5.669083488838185E-2</v>
      </c>
      <c r="J25" s="153"/>
    </row>
    <row r="26" spans="2:10" ht="14.25" x14ac:dyDescent="0.4">
      <c r="B26" s="173"/>
      <c r="C26" s="151" t="s">
        <v>29</v>
      </c>
      <c r="D26" s="13">
        <f>非标类信贷!D32</f>
        <v>579.47775999999999</v>
      </c>
      <c r="E26" s="92">
        <f>非标类信贷!P32</f>
        <v>12.609482078502182</v>
      </c>
      <c r="F26" s="13">
        <f>非标类信贷!U32</f>
        <v>67.708160000000007</v>
      </c>
      <c r="G26" s="115">
        <f>非标类信贷!V32</f>
        <v>0.11684341431843737</v>
      </c>
      <c r="H26" s="118">
        <f>非标类信贷!W32</f>
        <v>0</v>
      </c>
      <c r="I26" s="107">
        <f>非标类信贷!X32</f>
        <v>0</v>
      </c>
      <c r="J26" s="153"/>
    </row>
    <row r="27" spans="2:10" ht="14.25" x14ac:dyDescent="0.4">
      <c r="B27" s="173"/>
      <c r="C27" s="151" t="s">
        <v>30</v>
      </c>
      <c r="D27" s="13">
        <f>非标类信贷!D33</f>
        <v>305.39820800000001</v>
      </c>
      <c r="E27" s="92">
        <f>非标类信贷!P33</f>
        <v>7.1311098798529935</v>
      </c>
      <c r="F27" s="13">
        <f>非标类信贷!U33</f>
        <v>14.410450000000001</v>
      </c>
      <c r="G27" s="115">
        <f>非标类信贷!V33</f>
        <v>4.7185771306163006E-2</v>
      </c>
      <c r="H27" s="118">
        <f>非标类信贷!W33</f>
        <v>0</v>
      </c>
      <c r="I27" s="107">
        <f>非标类信贷!X33</f>
        <v>0</v>
      </c>
      <c r="J27" s="153"/>
    </row>
    <row r="28" spans="2:10" ht="14.25" x14ac:dyDescent="0.4">
      <c r="B28" s="173"/>
      <c r="C28" s="151" t="s">
        <v>31</v>
      </c>
      <c r="D28" s="13">
        <f>非标类信贷!D34</f>
        <v>284.75364000000002</v>
      </c>
      <c r="E28" s="92">
        <f>非标类信贷!P34</f>
        <v>7.3210679804578529</v>
      </c>
      <c r="F28" s="13">
        <f>非标类信贷!U34</f>
        <v>2.35</v>
      </c>
      <c r="G28" s="115">
        <f>非标类信贷!V34</f>
        <v>8.2527478841007973E-3</v>
      </c>
      <c r="H28" s="118">
        <f>非标类信贷!W34</f>
        <v>4.9710679804578533</v>
      </c>
      <c r="I28" s="107">
        <f>非标类信贷!X34</f>
        <v>-9.8199017518691409E-2</v>
      </c>
      <c r="J28" s="153"/>
    </row>
    <row r="29" spans="2:10" ht="14.65" thickBot="1" x14ac:dyDescent="0.45">
      <c r="B29" s="174"/>
      <c r="C29" s="152" t="s">
        <v>32</v>
      </c>
      <c r="D29" s="75">
        <f>非标类信贷!D35</f>
        <v>0</v>
      </c>
      <c r="E29" s="94">
        <f>非标类信贷!P35</f>
        <v>0</v>
      </c>
      <c r="F29" s="75">
        <f>非标类信贷!U35</f>
        <v>24.378209999999999</v>
      </c>
      <c r="G29" s="116" t="str">
        <f>非标类信贷!V35</f>
        <v>-</v>
      </c>
      <c r="H29" s="119">
        <f>非标类信贷!W35</f>
        <v>0</v>
      </c>
      <c r="I29" s="108">
        <f>非标类信贷!X35</f>
        <v>0</v>
      </c>
      <c r="J29" s="153"/>
    </row>
    <row r="30" spans="2:10" ht="14.25" x14ac:dyDescent="0.4">
      <c r="B30" s="173" t="s">
        <v>10</v>
      </c>
      <c r="C30" s="76" t="s">
        <v>33</v>
      </c>
      <c r="D30" s="82">
        <f>非标类信贷!D36</f>
        <v>31.593599999999999</v>
      </c>
      <c r="E30" s="90">
        <f>非标类信贷!P36</f>
        <v>0.62238027841690013</v>
      </c>
      <c r="F30" s="82">
        <f>非标类信贷!U36</f>
        <v>1.20529</v>
      </c>
      <c r="G30" s="114">
        <f>非标类信贷!V36</f>
        <v>3.8149815152435936E-2</v>
      </c>
      <c r="H30" s="117">
        <f>非标类信贷!W36</f>
        <v>0</v>
      </c>
      <c r="I30" s="106">
        <f>非标类信贷!X36</f>
        <v>0</v>
      </c>
      <c r="J30" s="153"/>
    </row>
    <row r="31" spans="2:10" ht="14.25" x14ac:dyDescent="0.4">
      <c r="B31" s="173"/>
      <c r="C31" s="151" t="s">
        <v>34</v>
      </c>
      <c r="D31" s="13">
        <f>非标类信贷!D37</f>
        <v>57.102924000000002</v>
      </c>
      <c r="E31" s="92">
        <f>非标类信贷!P37</f>
        <v>1.1014537399750419</v>
      </c>
      <c r="F31" s="13">
        <f>非标类信贷!U37</f>
        <v>2.4623499999999998</v>
      </c>
      <c r="G31" s="115">
        <f>非标类信贷!V37</f>
        <v>4.312125942972727E-2</v>
      </c>
      <c r="H31" s="118">
        <f>非标类信贷!W37</f>
        <v>0</v>
      </c>
      <c r="I31" s="107">
        <f>非标类信贷!X37</f>
        <v>0</v>
      </c>
      <c r="J31" s="153"/>
    </row>
    <row r="32" spans="2:10" ht="14.25" x14ac:dyDescent="0.4">
      <c r="B32" s="173"/>
      <c r="C32" s="151" t="s">
        <v>35</v>
      </c>
      <c r="D32" s="13">
        <f>非标类信贷!D38</f>
        <v>0</v>
      </c>
      <c r="E32" s="92">
        <f>非标类信贷!P38</f>
        <v>0</v>
      </c>
      <c r="F32" s="13">
        <f>非标类信贷!U38</f>
        <v>0</v>
      </c>
      <c r="G32" s="115" t="str">
        <f>非标类信贷!V38</f>
        <v>-</v>
      </c>
      <c r="H32" s="118">
        <f>非标类信贷!W38</f>
        <v>0</v>
      </c>
      <c r="I32" s="107">
        <f>非标类信贷!X38</f>
        <v>0</v>
      </c>
      <c r="J32" s="153"/>
    </row>
    <row r="33" spans="2:10" ht="14.25" x14ac:dyDescent="0.4">
      <c r="B33" s="173"/>
      <c r="C33" s="151" t="s">
        <v>36</v>
      </c>
      <c r="D33" s="13">
        <f>非标类信贷!D39</f>
        <v>0</v>
      </c>
      <c r="E33" s="92">
        <f>非标类信贷!P39</f>
        <v>0</v>
      </c>
      <c r="F33" s="13">
        <f>非标类信贷!U39</f>
        <v>0</v>
      </c>
      <c r="G33" s="115" t="str">
        <f>非标类信贷!V39</f>
        <v>-</v>
      </c>
      <c r="H33" s="118">
        <f>非标类信贷!W39</f>
        <v>0</v>
      </c>
      <c r="I33" s="107">
        <f>非标类信贷!X39</f>
        <v>0</v>
      </c>
      <c r="J33" s="153"/>
    </row>
    <row r="34" spans="2:10" ht="14.65" thickBot="1" x14ac:dyDescent="0.45">
      <c r="B34" s="174"/>
      <c r="C34" s="152" t="s">
        <v>37</v>
      </c>
      <c r="D34" s="75">
        <f>非标类信贷!D40</f>
        <v>5.7074446834800012</v>
      </c>
      <c r="E34" s="94">
        <f>非标类信贷!P40</f>
        <v>0.13394857553332074</v>
      </c>
      <c r="F34" s="75">
        <f>非标类信贷!U40</f>
        <v>0.94874999999999998</v>
      </c>
      <c r="G34" s="116">
        <f>非标类信贷!V40</f>
        <v>0.16623025760479529</v>
      </c>
      <c r="H34" s="119">
        <f>非标类信贷!W40</f>
        <v>0</v>
      </c>
      <c r="I34" s="108">
        <f>非标类信贷!X40</f>
        <v>0</v>
      </c>
      <c r="J34" s="153"/>
    </row>
    <row r="35" spans="2:10" ht="14.25" x14ac:dyDescent="0.4">
      <c r="B35" s="69" t="s">
        <v>213</v>
      </c>
      <c r="G35" s="115"/>
      <c r="I35" s="10"/>
      <c r="J35" s="153"/>
    </row>
    <row r="36" spans="2:10" ht="14.25" x14ac:dyDescent="0.4">
      <c r="B36" s="69" t="s">
        <v>210</v>
      </c>
      <c r="G36" s="115"/>
      <c r="I36" s="10"/>
      <c r="J36" s="153"/>
    </row>
    <row r="37" spans="2:10" ht="14.25" x14ac:dyDescent="0.4">
      <c r="B37" s="69" t="s">
        <v>211</v>
      </c>
      <c r="G37" s="115"/>
      <c r="I37" s="10"/>
      <c r="J37" s="153"/>
    </row>
    <row r="38" spans="2:10" ht="14.25" x14ac:dyDescent="0.4">
      <c r="B38" s="69" t="s">
        <v>212</v>
      </c>
      <c r="G38" s="115"/>
      <c r="I38" s="10"/>
      <c r="J38" s="153"/>
    </row>
    <row r="39" spans="2:10" x14ac:dyDescent="0.4">
      <c r="G39" s="142"/>
    </row>
  </sheetData>
  <mergeCells count="8">
    <mergeCell ref="B30:B34"/>
    <mergeCell ref="E8:E9"/>
    <mergeCell ref="F8:F9"/>
    <mergeCell ref="G8:G9"/>
    <mergeCell ref="I8:I9"/>
    <mergeCell ref="B10:B14"/>
    <mergeCell ref="B15:B22"/>
    <mergeCell ref="B23:B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68"/>
  <sheetViews>
    <sheetView tabSelected="1" workbookViewId="0">
      <selection activeCell="E44" sqref="C38:G68"/>
    </sheetView>
  </sheetViews>
  <sheetFormatPr defaultRowHeight="13.9" x14ac:dyDescent="0.4"/>
  <cols>
    <col min="3" max="3" width="16.46484375" bestFit="1" customWidth="1"/>
    <col min="4" max="4" width="12.265625" customWidth="1"/>
    <col min="5" max="5" width="14.265625" customWidth="1"/>
    <col min="6" max="6" width="11.53125" customWidth="1"/>
    <col min="7" max="7" width="11.265625" customWidth="1"/>
    <col min="14" max="14" width="23.19921875" bestFit="1" customWidth="1"/>
  </cols>
  <sheetData>
    <row r="1" spans="2:14" x14ac:dyDescent="0.4">
      <c r="G1" t="s">
        <v>250</v>
      </c>
    </row>
    <row r="3" spans="2:14" ht="14.65" thickBot="1" x14ac:dyDescent="0.45">
      <c r="C3" s="149" t="s">
        <v>245</v>
      </c>
      <c r="D3" t="s">
        <v>246</v>
      </c>
      <c r="G3" s="149" t="s">
        <v>251</v>
      </c>
      <c r="H3" t="s">
        <v>252</v>
      </c>
    </row>
    <row r="4" spans="2:14" ht="14.25" x14ac:dyDescent="0.4">
      <c r="B4" s="151" t="s">
        <v>42</v>
      </c>
      <c r="C4" s="202">
        <v>224.24200000000002</v>
      </c>
      <c r="D4" s="82">
        <v>329.14600000000002</v>
      </c>
      <c r="E4" s="225">
        <f>D4-C4</f>
        <v>104.904</v>
      </c>
      <c r="F4" s="205">
        <f>IF(E4&gt;0,1,0)</f>
        <v>1</v>
      </c>
      <c r="G4" s="202">
        <v>0</v>
      </c>
      <c r="H4" s="82">
        <v>0</v>
      </c>
      <c r="I4" s="230">
        <f>H4-G4</f>
        <v>0</v>
      </c>
      <c r="J4" s="205">
        <f t="shared" ref="J4:J8" si="0">IF(I4&gt;0,1,0)</f>
        <v>0</v>
      </c>
      <c r="K4" s="207">
        <v>0</v>
      </c>
      <c r="L4" s="114">
        <v>0</v>
      </c>
      <c r="M4" s="210">
        <f>L4-K4</f>
        <v>0</v>
      </c>
      <c r="N4" s="210">
        <f>IF(M4*E4&lt;=0,1,0)</f>
        <v>1</v>
      </c>
    </row>
    <row r="5" spans="2:14" ht="14.25" x14ac:dyDescent="0.4">
      <c r="B5" s="151" t="s">
        <v>14</v>
      </c>
      <c r="C5" s="203">
        <v>294.83800000000002</v>
      </c>
      <c r="D5" s="13">
        <v>111.306</v>
      </c>
      <c r="E5" s="225">
        <f t="shared" ref="E5:E33" si="1">D5-C5</f>
        <v>-183.53200000000004</v>
      </c>
      <c r="F5" s="205">
        <f t="shared" ref="F5:F31" si="2">IF(E5&gt;0,1,0)</f>
        <v>0</v>
      </c>
      <c r="G5" s="203">
        <v>13.51</v>
      </c>
      <c r="H5" s="13">
        <v>17.059999999999999</v>
      </c>
      <c r="I5" s="230">
        <f t="shared" ref="I5:I33" si="3">H5-G5</f>
        <v>3.5499999999999989</v>
      </c>
      <c r="J5" s="205">
        <f t="shared" si="0"/>
        <v>1</v>
      </c>
      <c r="K5" s="208">
        <v>4.582177331280228E-2</v>
      </c>
      <c r="L5" s="115">
        <v>0.15327116238118341</v>
      </c>
      <c r="M5" s="210">
        <f t="shared" ref="M5:M33" si="4">L5-K5</f>
        <v>0.10744938906838113</v>
      </c>
      <c r="N5" s="210">
        <f t="shared" ref="N5:N31" si="5">IF(M5*E5&lt;=0,1,0)</f>
        <v>1</v>
      </c>
    </row>
    <row r="6" spans="2:14" ht="14.25" x14ac:dyDescent="0.4">
      <c r="B6" s="151" t="s">
        <v>15</v>
      </c>
      <c r="C6" s="203">
        <v>110.31400000000014</v>
      </c>
      <c r="D6" s="13">
        <v>110.08399999999983</v>
      </c>
      <c r="E6" s="225">
        <f t="shared" si="1"/>
        <v>-0.23000000000030241</v>
      </c>
      <c r="F6" s="205">
        <f t="shared" si="2"/>
        <v>0</v>
      </c>
      <c r="G6" s="203">
        <v>46.54</v>
      </c>
      <c r="H6" s="13">
        <v>48.9</v>
      </c>
      <c r="I6" s="230">
        <f t="shared" si="3"/>
        <v>2.3599999999999994</v>
      </c>
      <c r="J6" s="205">
        <f t="shared" si="0"/>
        <v>1</v>
      </c>
      <c r="K6" s="208">
        <v>0.4218866145729458</v>
      </c>
      <c r="L6" s="115">
        <v>0.44420624250572355</v>
      </c>
      <c r="M6" s="210">
        <f t="shared" si="4"/>
        <v>2.2319627932777752E-2</v>
      </c>
      <c r="N6" s="210">
        <f t="shared" si="5"/>
        <v>1</v>
      </c>
    </row>
    <row r="7" spans="2:14" ht="14.25" x14ac:dyDescent="0.4">
      <c r="B7" s="151" t="s">
        <v>16</v>
      </c>
      <c r="C7" s="203">
        <v>45.876000000000005</v>
      </c>
      <c r="D7" s="13">
        <v>19.954000000000001</v>
      </c>
      <c r="E7" s="225">
        <f t="shared" si="1"/>
        <v>-25.922000000000004</v>
      </c>
      <c r="F7" s="205">
        <f t="shared" si="2"/>
        <v>0</v>
      </c>
      <c r="G7" s="203">
        <v>24.73</v>
      </c>
      <c r="H7" s="13">
        <v>24.59</v>
      </c>
      <c r="I7" s="230">
        <f t="shared" si="3"/>
        <v>-0.14000000000000057</v>
      </c>
      <c r="J7" s="205">
        <f t="shared" si="0"/>
        <v>0</v>
      </c>
      <c r="K7" s="208">
        <v>0.53906181881593862</v>
      </c>
      <c r="L7" s="115">
        <v>1.2323343690488122</v>
      </c>
      <c r="M7" s="210">
        <f t="shared" si="4"/>
        <v>0.6932725502328736</v>
      </c>
      <c r="N7" s="210">
        <f t="shared" si="5"/>
        <v>1</v>
      </c>
    </row>
    <row r="8" spans="2:14" ht="14.65" thickBot="1" x14ac:dyDescent="0.45">
      <c r="B8" s="152" t="s">
        <v>17</v>
      </c>
      <c r="C8" s="204">
        <v>484.99200000000002</v>
      </c>
      <c r="D8" s="75">
        <v>557.43200000000002</v>
      </c>
      <c r="E8" s="225">
        <f t="shared" si="1"/>
        <v>72.44</v>
      </c>
      <c r="F8" s="205">
        <f t="shared" si="2"/>
        <v>1</v>
      </c>
      <c r="G8" s="203">
        <v>28.03</v>
      </c>
      <c r="H8" s="13">
        <v>26.55</v>
      </c>
      <c r="I8" s="230">
        <f t="shared" si="3"/>
        <v>-1.4800000000000004</v>
      </c>
      <c r="J8" s="205">
        <f t="shared" si="0"/>
        <v>0</v>
      </c>
      <c r="K8" s="208">
        <v>5.7794767748746374E-2</v>
      </c>
      <c r="L8" s="115">
        <v>4.7629127857747672E-2</v>
      </c>
      <c r="M8" s="210">
        <f t="shared" si="4"/>
        <v>-1.0165639890998703E-2</v>
      </c>
      <c r="N8" s="210">
        <f t="shared" si="5"/>
        <v>1</v>
      </c>
    </row>
    <row r="9" spans="2:14" ht="14.65" thickBot="1" x14ac:dyDescent="0.45">
      <c r="B9" s="212" t="s">
        <v>289</v>
      </c>
      <c r="C9" s="203">
        <f>SUM(C4:C8)</f>
        <v>1160.2620000000002</v>
      </c>
      <c r="D9" s="203">
        <f>SUM(D4:D8)</f>
        <v>1127.9219999999998</v>
      </c>
      <c r="E9" s="225">
        <f t="shared" si="1"/>
        <v>-32.340000000000373</v>
      </c>
      <c r="F9" s="205"/>
      <c r="G9" s="203">
        <f>SUM(G4:G8)</f>
        <v>112.81</v>
      </c>
      <c r="H9" s="203">
        <f>SUM(H4:H8)</f>
        <v>117.1</v>
      </c>
      <c r="I9" s="230">
        <f t="shared" si="3"/>
        <v>4.289999999999992</v>
      </c>
      <c r="J9" s="230"/>
      <c r="K9" s="208">
        <f>G9/C9</f>
        <v>9.7228039873752642E-2</v>
      </c>
      <c r="L9" s="208">
        <f>H9/D9</f>
        <v>0.10381923572729321</v>
      </c>
      <c r="M9" s="210">
        <f t="shared" si="4"/>
        <v>6.5911958535405657E-3</v>
      </c>
      <c r="N9" s="210">
        <f t="shared" si="5"/>
        <v>1</v>
      </c>
    </row>
    <row r="10" spans="2:14" ht="14.25" x14ac:dyDescent="0.4">
      <c r="B10" s="76" t="s">
        <v>18</v>
      </c>
      <c r="C10" s="202">
        <v>2059.0700000000002</v>
      </c>
      <c r="D10" s="82">
        <v>2838.41</v>
      </c>
      <c r="E10" s="225">
        <f t="shared" si="1"/>
        <v>779.33999999999969</v>
      </c>
      <c r="F10" s="205">
        <f t="shared" si="2"/>
        <v>1</v>
      </c>
      <c r="G10" s="202">
        <v>61.76</v>
      </c>
      <c r="H10" s="82">
        <v>43.06</v>
      </c>
      <c r="I10" s="230">
        <f t="shared" si="3"/>
        <v>-18.699999999999996</v>
      </c>
      <c r="J10" s="205">
        <f t="shared" ref="J10:J31" si="6">IF(I10&gt;0,1,0)</f>
        <v>0</v>
      </c>
      <c r="K10" s="207">
        <v>2.9994123560636594E-2</v>
      </c>
      <c r="L10" s="114">
        <v>1.5170465154787365E-2</v>
      </c>
      <c r="M10" s="210">
        <f t="shared" si="4"/>
        <v>-1.4823658405849229E-2</v>
      </c>
      <c r="N10" s="210">
        <f t="shared" si="5"/>
        <v>1</v>
      </c>
    </row>
    <row r="11" spans="2:14" ht="14.25" x14ac:dyDescent="0.4">
      <c r="B11" s="151" t="s">
        <v>19</v>
      </c>
      <c r="C11" s="203">
        <v>3103.61</v>
      </c>
      <c r="D11" s="13">
        <v>3028.13</v>
      </c>
      <c r="E11" s="225">
        <f t="shared" si="1"/>
        <v>-75.480000000000018</v>
      </c>
      <c r="F11" s="205">
        <f t="shared" si="2"/>
        <v>0</v>
      </c>
      <c r="G11" s="203">
        <v>17.559999999999999</v>
      </c>
      <c r="H11" s="13">
        <v>25.36</v>
      </c>
      <c r="I11" s="230">
        <f t="shared" si="3"/>
        <v>7.8000000000000007</v>
      </c>
      <c r="J11" s="205">
        <f t="shared" si="6"/>
        <v>1</v>
      </c>
      <c r="K11" s="208">
        <v>5.657927381339794E-3</v>
      </c>
      <c r="L11" s="115">
        <v>8.3748055730764534E-3</v>
      </c>
      <c r="M11" s="210">
        <f t="shared" si="4"/>
        <v>2.7168781917366594E-3</v>
      </c>
      <c r="N11" s="210">
        <f t="shared" si="5"/>
        <v>1</v>
      </c>
    </row>
    <row r="12" spans="2:14" ht="14.25" x14ac:dyDescent="0.4">
      <c r="B12" s="151" t="s">
        <v>20</v>
      </c>
      <c r="C12" s="203">
        <v>5585.2420000000002</v>
      </c>
      <c r="D12" s="13">
        <v>4302.8050000000003</v>
      </c>
      <c r="E12" s="225">
        <f t="shared" si="1"/>
        <v>-1282.4369999999999</v>
      </c>
      <c r="F12" s="205">
        <f t="shared" si="2"/>
        <v>0</v>
      </c>
      <c r="G12" s="203">
        <v>58.09</v>
      </c>
      <c r="H12" s="13">
        <v>65.2</v>
      </c>
      <c r="I12" s="230">
        <f t="shared" si="3"/>
        <v>7.1099999999999994</v>
      </c>
      <c r="J12" s="205">
        <f t="shared" si="6"/>
        <v>1</v>
      </c>
      <c r="K12" s="208">
        <v>1.0400623643523415E-2</v>
      </c>
      <c r="L12" s="115">
        <v>1.515290606941286E-2</v>
      </c>
      <c r="M12" s="210">
        <f t="shared" si="4"/>
        <v>4.7522824258894453E-3</v>
      </c>
      <c r="N12" s="210">
        <f t="shared" si="5"/>
        <v>1</v>
      </c>
    </row>
    <row r="13" spans="2:14" ht="14.25" x14ac:dyDescent="0.4">
      <c r="B13" s="151" t="s">
        <v>21</v>
      </c>
      <c r="C13" s="203">
        <v>6833.723</v>
      </c>
      <c r="D13" s="13">
        <v>5937.3275000000003</v>
      </c>
      <c r="E13" s="225">
        <f t="shared" si="1"/>
        <v>-896.39549999999963</v>
      </c>
      <c r="F13" s="205">
        <f t="shared" si="2"/>
        <v>0</v>
      </c>
      <c r="G13" s="203">
        <v>16.88</v>
      </c>
      <c r="H13" s="13">
        <v>20.32</v>
      </c>
      <c r="I13" s="230">
        <f t="shared" si="3"/>
        <v>3.4400000000000013</v>
      </c>
      <c r="J13" s="205">
        <f t="shared" si="6"/>
        <v>1</v>
      </c>
      <c r="K13" s="208">
        <v>2.4701030463189682E-3</v>
      </c>
      <c r="L13" s="115">
        <v>3.4224152196421706E-3</v>
      </c>
      <c r="M13" s="210">
        <f t="shared" si="4"/>
        <v>9.5231217332320244E-4</v>
      </c>
      <c r="N13" s="210">
        <f t="shared" si="5"/>
        <v>1</v>
      </c>
    </row>
    <row r="14" spans="2:14" ht="14.25" x14ac:dyDescent="0.4">
      <c r="B14" s="151" t="s">
        <v>22</v>
      </c>
      <c r="C14" s="203">
        <v>8816.89</v>
      </c>
      <c r="D14" s="13">
        <v>9212.0499999999993</v>
      </c>
      <c r="E14" s="225">
        <f t="shared" si="1"/>
        <v>395.15999999999985</v>
      </c>
      <c r="F14" s="205">
        <f t="shared" si="2"/>
        <v>1</v>
      </c>
      <c r="G14" s="203">
        <v>134.03</v>
      </c>
      <c r="H14" s="13">
        <v>159.46</v>
      </c>
      <c r="I14" s="230">
        <f t="shared" si="3"/>
        <v>25.430000000000007</v>
      </c>
      <c r="J14" s="205">
        <f t="shared" si="6"/>
        <v>1</v>
      </c>
      <c r="K14" s="208">
        <v>1.5201505292682568E-2</v>
      </c>
      <c r="L14" s="115">
        <v>1.7309936441942893E-2</v>
      </c>
      <c r="M14" s="210">
        <f t="shared" si="4"/>
        <v>2.1084311492603255E-3</v>
      </c>
      <c r="N14" s="210">
        <f t="shared" si="5"/>
        <v>0</v>
      </c>
    </row>
    <row r="15" spans="2:14" ht="14.25" x14ac:dyDescent="0.4">
      <c r="B15" s="151" t="s">
        <v>23</v>
      </c>
      <c r="C15" s="203">
        <v>3113.1684999999998</v>
      </c>
      <c r="D15" s="13">
        <v>3200.3270000000002</v>
      </c>
      <c r="E15" s="225">
        <f t="shared" si="1"/>
        <v>87.158500000000458</v>
      </c>
      <c r="F15" s="205">
        <f t="shared" si="2"/>
        <v>1</v>
      </c>
      <c r="G15" s="203">
        <v>17.309999999999999</v>
      </c>
      <c r="H15" s="13">
        <v>20.92</v>
      </c>
      <c r="I15" s="230">
        <f t="shared" si="3"/>
        <v>3.610000000000003</v>
      </c>
      <c r="J15" s="205">
        <f t="shared" si="6"/>
        <v>1</v>
      </c>
      <c r="K15" s="208">
        <v>5.5602515572157436E-3</v>
      </c>
      <c r="L15" s="115">
        <v>6.5368320174782144E-3</v>
      </c>
      <c r="M15" s="210">
        <f t="shared" si="4"/>
        <v>9.7658046026247083E-4</v>
      </c>
      <c r="N15" s="210">
        <f t="shared" si="5"/>
        <v>0</v>
      </c>
    </row>
    <row r="16" spans="2:14" ht="14.25" x14ac:dyDescent="0.4">
      <c r="B16" s="151" t="s">
        <v>24</v>
      </c>
      <c r="C16" s="203">
        <v>783.54250000000025</v>
      </c>
      <c r="D16" s="13">
        <v>1131.8579999999999</v>
      </c>
      <c r="E16" s="225">
        <f t="shared" si="1"/>
        <v>348.3154999999997</v>
      </c>
      <c r="F16" s="205">
        <f t="shared" si="2"/>
        <v>1</v>
      </c>
      <c r="G16" s="203">
        <v>10.29</v>
      </c>
      <c r="H16" s="13">
        <v>14.73</v>
      </c>
      <c r="I16" s="230">
        <f t="shared" si="3"/>
        <v>4.4400000000000013</v>
      </c>
      <c r="J16" s="205">
        <f t="shared" si="6"/>
        <v>1</v>
      </c>
      <c r="K16" s="208">
        <v>1.3132663512189825E-2</v>
      </c>
      <c r="L16" s="115">
        <v>1.3013999989397965E-2</v>
      </c>
      <c r="M16" s="210">
        <f t="shared" si="4"/>
        <v>-1.186635227918599E-4</v>
      </c>
      <c r="N16" s="210">
        <f t="shared" si="5"/>
        <v>1</v>
      </c>
    </row>
    <row r="17" spans="2:14" ht="14.65" thickBot="1" x14ac:dyDescent="0.45">
      <c r="B17" s="152" t="s">
        <v>25</v>
      </c>
      <c r="C17" s="204">
        <v>2273.1020000000003</v>
      </c>
      <c r="D17" s="75">
        <v>2378.922</v>
      </c>
      <c r="E17" s="225">
        <f t="shared" si="1"/>
        <v>105.81999999999971</v>
      </c>
      <c r="F17" s="205">
        <f t="shared" si="2"/>
        <v>1</v>
      </c>
      <c r="G17" s="203">
        <v>16.55</v>
      </c>
      <c r="H17" s="13">
        <v>23.55</v>
      </c>
      <c r="I17" s="230">
        <f t="shared" si="3"/>
        <v>7</v>
      </c>
      <c r="J17" s="205">
        <f t="shared" si="6"/>
        <v>1</v>
      </c>
      <c r="K17" s="208">
        <v>7.2807995417715522E-3</v>
      </c>
      <c r="L17" s="115">
        <v>9.8994418480303267E-3</v>
      </c>
      <c r="M17" s="210">
        <f t="shared" si="4"/>
        <v>2.6186423062587744E-3</v>
      </c>
      <c r="N17" s="210">
        <f t="shared" si="5"/>
        <v>0</v>
      </c>
    </row>
    <row r="18" spans="2:14" ht="14.65" thickBot="1" x14ac:dyDescent="0.45">
      <c r="B18" s="212" t="s">
        <v>247</v>
      </c>
      <c r="C18" s="203">
        <f>SUM(C10:C17)</f>
        <v>32568.347999999998</v>
      </c>
      <c r="D18" s="203">
        <f>SUM(D10:D17)</f>
        <v>32029.8295</v>
      </c>
      <c r="E18" s="225">
        <f t="shared" si="1"/>
        <v>-538.51849999999831</v>
      </c>
      <c r="F18" s="205"/>
      <c r="G18" s="203">
        <f>SUM(G10:G17)</f>
        <v>332.47</v>
      </c>
      <c r="H18" s="203">
        <f>SUM(H10:H17)</f>
        <v>372.6</v>
      </c>
      <c r="I18" s="230">
        <f t="shared" si="3"/>
        <v>40.129999999999995</v>
      </c>
      <c r="J18" s="205"/>
      <c r="K18" s="208">
        <f>G18/C18</f>
        <v>1.020837777832637E-2</v>
      </c>
      <c r="L18" s="208">
        <f>H18/D18</f>
        <v>1.1632906132079162E-2</v>
      </c>
      <c r="M18" s="210">
        <f t="shared" si="4"/>
        <v>1.4245283537527922E-3</v>
      </c>
      <c r="N18" s="210">
        <f t="shared" si="5"/>
        <v>1</v>
      </c>
    </row>
    <row r="19" spans="2:14" ht="14.25" x14ac:dyDescent="0.4">
      <c r="B19" s="76" t="s">
        <v>26</v>
      </c>
      <c r="C19" s="202">
        <v>938.88400000000024</v>
      </c>
      <c r="D19" s="82">
        <v>1328.2079999999999</v>
      </c>
      <c r="E19" s="225">
        <f t="shared" si="1"/>
        <v>389.32399999999961</v>
      </c>
      <c r="F19" s="205">
        <f t="shared" si="2"/>
        <v>1</v>
      </c>
      <c r="G19" s="202">
        <v>64.5</v>
      </c>
      <c r="H19" s="82">
        <v>97.36</v>
      </c>
      <c r="I19" s="230">
        <f t="shared" si="3"/>
        <v>32.86</v>
      </c>
      <c r="J19" s="205">
        <f t="shared" si="6"/>
        <v>1</v>
      </c>
      <c r="K19" s="207">
        <v>6.8698582572500957E-2</v>
      </c>
      <c r="L19" s="114">
        <v>7.3301772011612643E-2</v>
      </c>
      <c r="M19" s="210">
        <f t="shared" si="4"/>
        <v>4.6031894391116851E-3</v>
      </c>
      <c r="N19" s="210">
        <f t="shared" si="5"/>
        <v>0</v>
      </c>
    </row>
    <row r="20" spans="2:14" ht="14.25" x14ac:dyDescent="0.4">
      <c r="B20" s="151" t="s">
        <v>27</v>
      </c>
      <c r="C20" s="203">
        <v>871.98742800000002</v>
      </c>
      <c r="D20" s="13">
        <v>951.84588000000008</v>
      </c>
      <c r="E20" s="225">
        <f t="shared" si="1"/>
        <v>79.858452000000057</v>
      </c>
      <c r="F20" s="205">
        <f t="shared" si="2"/>
        <v>1</v>
      </c>
      <c r="G20" s="203">
        <v>20.056889999999999</v>
      </c>
      <c r="H20" s="13">
        <v>24.131910000000001</v>
      </c>
      <c r="I20" s="230">
        <f t="shared" si="3"/>
        <v>4.0750200000000021</v>
      </c>
      <c r="J20" s="205">
        <f t="shared" si="6"/>
        <v>1</v>
      </c>
      <c r="K20" s="208">
        <v>2.3001352262615418E-2</v>
      </c>
      <c r="L20" s="115">
        <v>2.535274933374718E-2</v>
      </c>
      <c r="M20" s="210">
        <f t="shared" si="4"/>
        <v>2.3513970711317618E-3</v>
      </c>
      <c r="N20" s="210">
        <f t="shared" si="5"/>
        <v>0</v>
      </c>
    </row>
    <row r="21" spans="2:14" ht="14.25" x14ac:dyDescent="0.4">
      <c r="B21" s="151" t="s">
        <v>28</v>
      </c>
      <c r="C21" s="203">
        <v>399.51795200000004</v>
      </c>
      <c r="D21" s="13">
        <v>409.66578800000002</v>
      </c>
      <c r="E21" s="225">
        <f t="shared" si="1"/>
        <v>10.147835999999984</v>
      </c>
      <c r="F21" s="205">
        <f t="shared" si="2"/>
        <v>1</v>
      </c>
      <c r="G21" s="203">
        <v>4.3524500000000002</v>
      </c>
      <c r="H21" s="13">
        <v>2.4</v>
      </c>
      <c r="I21" s="230">
        <f t="shared" si="3"/>
        <v>-1.9524500000000002</v>
      </c>
      <c r="J21" s="205">
        <f t="shared" si="6"/>
        <v>0</v>
      </c>
      <c r="K21" s="208">
        <v>1.0894253883239769E-2</v>
      </c>
      <c r="L21" s="115">
        <v>5.8584340462425914E-3</v>
      </c>
      <c r="M21" s="210">
        <f t="shared" si="4"/>
        <v>-5.0358198369971777E-3</v>
      </c>
      <c r="N21" s="210">
        <f t="shared" si="5"/>
        <v>1</v>
      </c>
    </row>
    <row r="22" spans="2:14" ht="14.25" x14ac:dyDescent="0.4">
      <c r="B22" s="151" t="s">
        <v>29</v>
      </c>
      <c r="C22" s="203">
        <v>949.73578799999996</v>
      </c>
      <c r="D22" s="13">
        <v>579.47775999999999</v>
      </c>
      <c r="E22" s="225">
        <f t="shared" si="1"/>
        <v>-370.25802799999997</v>
      </c>
      <c r="F22" s="205">
        <f t="shared" si="2"/>
        <v>0</v>
      </c>
      <c r="G22" s="203">
        <v>53.484279999999998</v>
      </c>
      <c r="H22" s="13">
        <v>67.708160000000007</v>
      </c>
      <c r="I22" s="230">
        <f t="shared" si="3"/>
        <v>14.223880000000008</v>
      </c>
      <c r="J22" s="205">
        <f t="shared" si="6"/>
        <v>1</v>
      </c>
      <c r="K22" s="208">
        <v>5.6314904287886013E-2</v>
      </c>
      <c r="L22" s="115">
        <v>0.11684341431843737</v>
      </c>
      <c r="M22" s="210">
        <f t="shared" si="4"/>
        <v>6.0528510030551354E-2</v>
      </c>
      <c r="N22" s="210">
        <f t="shared" si="5"/>
        <v>1</v>
      </c>
    </row>
    <row r="23" spans="2:14" ht="14.25" x14ac:dyDescent="0.4">
      <c r="B23" s="151" t="s">
        <v>30</v>
      </c>
      <c r="C23" s="203">
        <v>223.889396</v>
      </c>
      <c r="D23" s="13">
        <v>305.39820800000001</v>
      </c>
      <c r="E23" s="225">
        <f t="shared" si="1"/>
        <v>81.508812000000006</v>
      </c>
      <c r="F23" s="205">
        <f t="shared" si="2"/>
        <v>1</v>
      </c>
      <c r="G23" s="203">
        <v>7.6988599999999998</v>
      </c>
      <c r="H23" s="13">
        <v>14.410450000000001</v>
      </c>
      <c r="I23" s="230">
        <f t="shared" si="3"/>
        <v>6.7115900000000011</v>
      </c>
      <c r="J23" s="205">
        <f t="shared" si="6"/>
        <v>1</v>
      </c>
      <c r="K23" s="208">
        <v>3.4386889855203322E-2</v>
      </c>
      <c r="L23" s="115">
        <v>4.7185771306163006E-2</v>
      </c>
      <c r="M23" s="210">
        <f t="shared" si="4"/>
        <v>1.2798881450959684E-2</v>
      </c>
      <c r="N23" s="210">
        <f t="shared" si="5"/>
        <v>0</v>
      </c>
    </row>
    <row r="24" spans="2:14" ht="14.25" x14ac:dyDescent="0.4">
      <c r="B24" s="151" t="s">
        <v>31</v>
      </c>
      <c r="C24" s="203">
        <v>210.224244</v>
      </c>
      <c r="D24" s="13">
        <v>284.75364000000002</v>
      </c>
      <c r="E24" s="225">
        <f t="shared" si="1"/>
        <v>74.52939600000002</v>
      </c>
      <c r="F24" s="205">
        <f t="shared" si="2"/>
        <v>1</v>
      </c>
      <c r="G24" s="203">
        <v>2.1</v>
      </c>
      <c r="H24" s="13">
        <v>2.35</v>
      </c>
      <c r="I24" s="230">
        <f t="shared" si="3"/>
        <v>0.25</v>
      </c>
      <c r="J24" s="205">
        <f t="shared" si="6"/>
        <v>1</v>
      </c>
      <c r="K24" s="208">
        <v>9.9893331047012836E-3</v>
      </c>
      <c r="L24" s="115">
        <v>8.2527478841007973E-3</v>
      </c>
      <c r="M24" s="210">
        <f t="shared" si="4"/>
        <v>-1.7365852206004864E-3</v>
      </c>
      <c r="N24" s="210">
        <f t="shared" si="5"/>
        <v>1</v>
      </c>
    </row>
    <row r="25" spans="2:14" ht="14.65" thickBot="1" x14ac:dyDescent="0.45">
      <c r="B25" s="152" t="s">
        <v>32</v>
      </c>
      <c r="C25" s="204">
        <v>0</v>
      </c>
      <c r="D25" s="75">
        <v>0</v>
      </c>
      <c r="E25" s="225">
        <f t="shared" si="1"/>
        <v>0</v>
      </c>
      <c r="F25" s="205">
        <f t="shared" si="2"/>
        <v>0</v>
      </c>
      <c r="G25" s="204">
        <v>14.09693</v>
      </c>
      <c r="H25" s="75">
        <v>24.378209999999999</v>
      </c>
      <c r="I25" s="230">
        <f t="shared" si="3"/>
        <v>10.281279999999999</v>
      </c>
      <c r="J25" s="205">
        <f t="shared" si="6"/>
        <v>1</v>
      </c>
      <c r="K25" s="209" t="s">
        <v>249</v>
      </c>
      <c r="L25" s="116" t="s">
        <v>249</v>
      </c>
      <c r="M25" s="210" t="e">
        <f t="shared" si="4"/>
        <v>#VALUE!</v>
      </c>
      <c r="N25" s="210" t="e">
        <f t="shared" si="5"/>
        <v>#VALUE!</v>
      </c>
    </row>
    <row r="26" spans="2:14" ht="14.65" thickBot="1" x14ac:dyDescent="0.45">
      <c r="B26" s="212" t="s">
        <v>248</v>
      </c>
      <c r="C26" s="203">
        <f>SUM(C19:C25)</f>
        <v>3594.2388080000005</v>
      </c>
      <c r="D26" s="203">
        <f>SUM(D19:D25)</f>
        <v>3859.3492759999995</v>
      </c>
      <c r="E26" s="225">
        <f t="shared" si="1"/>
        <v>265.11046799999895</v>
      </c>
      <c r="F26" s="205"/>
      <c r="G26" s="203">
        <f>SUM(G19:G25)</f>
        <v>166.28940999999998</v>
      </c>
      <c r="H26" s="203">
        <f>SUM(H19:H25)</f>
        <v>232.73873</v>
      </c>
      <c r="I26" s="230">
        <f t="shared" si="3"/>
        <v>66.449320000000029</v>
      </c>
      <c r="J26" s="230"/>
      <c r="K26" s="208">
        <f>G26/C26</f>
        <v>4.6265542965557994E-2</v>
      </c>
      <c r="L26" s="208">
        <f>H26/D26</f>
        <v>6.0305174099510563E-2</v>
      </c>
      <c r="M26" s="210">
        <f t="shared" si="4"/>
        <v>1.4039631133952568E-2</v>
      </c>
      <c r="N26" s="210">
        <f t="shared" si="5"/>
        <v>0</v>
      </c>
    </row>
    <row r="27" spans="2:14" ht="14.25" x14ac:dyDescent="0.4">
      <c r="B27" s="76" t="s">
        <v>33</v>
      </c>
      <c r="C27" s="202">
        <v>37.621120000000005</v>
      </c>
      <c r="D27" s="82">
        <v>31.593599999999999</v>
      </c>
      <c r="E27" s="225">
        <f t="shared" si="1"/>
        <v>-6.0275200000000062</v>
      </c>
      <c r="F27" s="205">
        <f t="shared" si="2"/>
        <v>0</v>
      </c>
      <c r="G27" s="202">
        <v>0.54876000000000003</v>
      </c>
      <c r="H27" s="82">
        <v>1.20529</v>
      </c>
      <c r="I27" s="230">
        <f t="shared" si="3"/>
        <v>0.65652999999999995</v>
      </c>
      <c r="J27" s="205">
        <f t="shared" si="6"/>
        <v>1</v>
      </c>
      <c r="K27" s="207">
        <v>1.4586487589949473E-2</v>
      </c>
      <c r="L27" s="114">
        <v>3.8149815152435936E-2</v>
      </c>
      <c r="M27" s="210">
        <f t="shared" si="4"/>
        <v>2.3563327562486462E-2</v>
      </c>
      <c r="N27" s="210">
        <f t="shared" si="5"/>
        <v>1</v>
      </c>
    </row>
    <row r="28" spans="2:14" ht="14.25" x14ac:dyDescent="0.4">
      <c r="B28" s="151" t="s">
        <v>34</v>
      </c>
      <c r="C28" s="203">
        <v>51.640524000000006</v>
      </c>
      <c r="D28" s="13">
        <v>57.102924000000002</v>
      </c>
      <c r="E28" s="225">
        <f t="shared" si="1"/>
        <v>5.4623999999999953</v>
      </c>
      <c r="F28" s="205">
        <f t="shared" si="2"/>
        <v>1</v>
      </c>
      <c r="G28" s="203">
        <v>2.1757300000000002</v>
      </c>
      <c r="H28" s="13">
        <v>2.4623499999999998</v>
      </c>
      <c r="I28" s="230">
        <f t="shared" si="3"/>
        <v>0.28661999999999965</v>
      </c>
      <c r="J28" s="205">
        <f t="shared" si="6"/>
        <v>1</v>
      </c>
      <c r="K28" s="208">
        <v>4.2132221586287544E-2</v>
      </c>
      <c r="L28" s="115">
        <v>4.312125942972727E-2</v>
      </c>
      <c r="M28" s="210">
        <f t="shared" si="4"/>
        <v>9.8903784343972595E-4</v>
      </c>
      <c r="N28" s="210">
        <f t="shared" si="5"/>
        <v>0</v>
      </c>
    </row>
    <row r="29" spans="2:14" ht="14.25" x14ac:dyDescent="0.4">
      <c r="B29" s="151" t="s">
        <v>35</v>
      </c>
      <c r="C29" s="203">
        <v>3.6</v>
      </c>
      <c r="D29" s="13">
        <v>0</v>
      </c>
      <c r="E29" s="225">
        <f t="shared" si="1"/>
        <v>-3.6</v>
      </c>
      <c r="F29" s="205">
        <f t="shared" si="2"/>
        <v>0</v>
      </c>
      <c r="G29" s="203">
        <v>0</v>
      </c>
      <c r="H29" s="13">
        <v>0</v>
      </c>
      <c r="I29" s="230">
        <f t="shared" si="3"/>
        <v>0</v>
      </c>
      <c r="J29" s="205">
        <f t="shared" si="6"/>
        <v>0</v>
      </c>
      <c r="K29" s="208" t="s">
        <v>249</v>
      </c>
      <c r="L29" s="115" t="s">
        <v>249</v>
      </c>
      <c r="M29" s="210" t="e">
        <f t="shared" si="4"/>
        <v>#VALUE!</v>
      </c>
      <c r="N29" s="210" t="e">
        <f t="shared" si="5"/>
        <v>#VALUE!</v>
      </c>
    </row>
    <row r="30" spans="2:14" ht="14.25" x14ac:dyDescent="0.4">
      <c r="B30" s="151" t="s">
        <v>36</v>
      </c>
      <c r="C30" s="203">
        <v>0</v>
      </c>
      <c r="D30" s="13">
        <v>0</v>
      </c>
      <c r="E30" s="225">
        <f t="shared" si="1"/>
        <v>0</v>
      </c>
      <c r="F30" s="205">
        <f t="shared" si="2"/>
        <v>0</v>
      </c>
      <c r="G30" s="203">
        <v>0</v>
      </c>
      <c r="H30" s="13">
        <v>0</v>
      </c>
      <c r="I30" s="230">
        <f t="shared" si="3"/>
        <v>0</v>
      </c>
      <c r="J30" s="205">
        <f t="shared" si="6"/>
        <v>0</v>
      </c>
      <c r="K30" s="208" t="s">
        <v>249</v>
      </c>
      <c r="L30" s="115" t="s">
        <v>249</v>
      </c>
      <c r="M30" s="210" t="e">
        <f t="shared" si="4"/>
        <v>#VALUE!</v>
      </c>
      <c r="N30" s="210" t="e">
        <f t="shared" si="5"/>
        <v>#VALUE!</v>
      </c>
    </row>
    <row r="31" spans="2:14" ht="14.65" thickBot="1" x14ac:dyDescent="0.45">
      <c r="B31" s="152" t="s">
        <v>37</v>
      </c>
      <c r="C31" s="204">
        <v>1.2208692593599999</v>
      </c>
      <c r="D31" s="75">
        <v>5.7074446834800012</v>
      </c>
      <c r="E31" s="225">
        <f t="shared" si="1"/>
        <v>4.4865754241200015</v>
      </c>
      <c r="F31" s="205">
        <f t="shared" si="2"/>
        <v>1</v>
      </c>
      <c r="G31" s="204">
        <v>0.41925000000000001</v>
      </c>
      <c r="H31" s="75">
        <v>0.94874999999999998</v>
      </c>
      <c r="I31" s="230">
        <f t="shared" si="3"/>
        <v>0.52949999999999997</v>
      </c>
      <c r="J31" s="205">
        <f t="shared" si="6"/>
        <v>1</v>
      </c>
      <c r="K31" s="209">
        <v>0.34340286380851121</v>
      </c>
      <c r="L31" s="116">
        <v>0.16623025760479529</v>
      </c>
      <c r="M31" s="210">
        <f t="shared" si="4"/>
        <v>-0.17717260620371592</v>
      </c>
      <c r="N31" s="210">
        <f t="shared" si="5"/>
        <v>1</v>
      </c>
    </row>
    <row r="32" spans="2:14" ht="14.25" x14ac:dyDescent="0.4">
      <c r="B32" s="213" t="s">
        <v>253</v>
      </c>
      <c r="C32" s="153">
        <f>SUM(C27:C31)</f>
        <v>94.082513259360013</v>
      </c>
      <c r="D32" s="153">
        <f>SUM(D27:D31)</f>
        <v>94.403968683480002</v>
      </c>
      <c r="E32" s="225">
        <f t="shared" si="1"/>
        <v>0.32145542411998917</v>
      </c>
      <c r="F32" s="205"/>
      <c r="G32" s="211">
        <f>SUM(G27:G31)</f>
        <v>3.1437400000000002</v>
      </c>
      <c r="H32" s="211">
        <f>SUM(H27:H31)</f>
        <v>4.6163899999999991</v>
      </c>
      <c r="I32" s="230">
        <f t="shared" si="3"/>
        <v>1.4726499999999989</v>
      </c>
      <c r="J32" s="230"/>
      <c r="K32" s="208">
        <f>G32/C32</f>
        <v>3.3414711098688023E-2</v>
      </c>
      <c r="L32" s="208">
        <f>H32/D32</f>
        <v>4.8900380613000997E-2</v>
      </c>
      <c r="M32" s="210">
        <f t="shared" si="4"/>
        <v>1.5485669514312975E-2</v>
      </c>
    </row>
    <row r="33" spans="2:37" x14ac:dyDescent="0.4">
      <c r="B33" s="206" t="s">
        <v>281</v>
      </c>
      <c r="C33" s="153">
        <f>SUM(C4:C8,C10:C17,C19:C25,C27:C31)</f>
        <v>37416.931321259362</v>
      </c>
      <c r="D33" s="153">
        <f>SUM(D4:D8,D10:D17,D19:D25,D27:D31)</f>
        <v>37111.50474468348</v>
      </c>
      <c r="E33" s="225">
        <f t="shared" si="1"/>
        <v>-305.42657657588279</v>
      </c>
      <c r="F33" s="231">
        <f>SUM(F4:F31)</f>
        <v>14</v>
      </c>
      <c r="G33" s="153">
        <f>SUM(G4:G8,G10:G17,G19:G25,G27:G31)</f>
        <v>614.71315000000016</v>
      </c>
      <c r="H33" s="153">
        <f>SUM(H4:H8,H10:H17,H19:H25,H27:H31)</f>
        <v>727.05511999999999</v>
      </c>
      <c r="I33" s="230">
        <f t="shared" si="3"/>
        <v>112.34196999999983</v>
      </c>
      <c r="J33" s="230">
        <f>SUM(J4:J31)</f>
        <v>18</v>
      </c>
      <c r="K33" s="208">
        <f>G33/C33</f>
        <v>1.6428743039404076E-2</v>
      </c>
      <c r="L33" s="208">
        <f>H33/D33</f>
        <v>1.9591097828070593E-2</v>
      </c>
      <c r="M33" s="210">
        <f t="shared" si="4"/>
        <v>3.1623547886665167E-3</v>
      </c>
    </row>
    <row r="34" spans="2:37" x14ac:dyDescent="0.4">
      <c r="G34" s="205"/>
      <c r="H34" s="205"/>
    </row>
    <row r="35" spans="2:37" x14ac:dyDescent="0.4">
      <c r="G35" s="205"/>
      <c r="H35" s="205"/>
    </row>
    <row r="38" spans="2:37" ht="39.75" thickBot="1" x14ac:dyDescent="0.45">
      <c r="C38" s="214" t="s">
        <v>254</v>
      </c>
      <c r="D38" s="215" t="s">
        <v>295</v>
      </c>
      <c r="E38" s="215" t="s">
        <v>294</v>
      </c>
      <c r="F38" s="215" t="s">
        <v>293</v>
      </c>
      <c r="G38" s="215" t="s">
        <v>292</v>
      </c>
    </row>
    <row r="39" spans="2:37" x14ac:dyDescent="0.4">
      <c r="B39" s="142"/>
      <c r="C39" s="222" t="s">
        <v>255</v>
      </c>
      <c r="D39" s="226">
        <v>104.904</v>
      </c>
      <c r="E39" s="226">
        <v>0</v>
      </c>
      <c r="F39" s="217">
        <v>0</v>
      </c>
      <c r="G39" s="217">
        <v>0</v>
      </c>
    </row>
    <row r="40" spans="2:37" x14ac:dyDescent="0.4">
      <c r="B40" s="142"/>
      <c r="C40" s="216" t="s">
        <v>256</v>
      </c>
      <c r="D40" s="226">
        <v>-183.53200000000004</v>
      </c>
      <c r="E40" s="226">
        <v>3.5499999999999989</v>
      </c>
      <c r="F40" s="217">
        <v>0.15327116238118341</v>
      </c>
      <c r="G40" s="217">
        <v>4.582177331280228E-2</v>
      </c>
    </row>
    <row r="41" spans="2:37" x14ac:dyDescent="0.4">
      <c r="B41" s="142"/>
      <c r="C41" s="216" t="s">
        <v>257</v>
      </c>
      <c r="D41" s="226">
        <v>-0.23000000000030241</v>
      </c>
      <c r="E41" s="226">
        <v>2.3599999999999994</v>
      </c>
      <c r="F41" s="217">
        <v>0.44420624250572355</v>
      </c>
      <c r="G41" s="217">
        <v>0.4218866145729458</v>
      </c>
    </row>
    <row r="42" spans="2:37" x14ac:dyDescent="0.4">
      <c r="B42" s="142"/>
      <c r="C42" s="216" t="s">
        <v>258</v>
      </c>
      <c r="D42" s="226">
        <v>-25.922000000000004</v>
      </c>
      <c r="E42" s="226">
        <v>-0.14000000000000057</v>
      </c>
      <c r="F42" s="217">
        <v>1.2323343690488122</v>
      </c>
      <c r="G42" s="217">
        <v>0.53906181881593862</v>
      </c>
    </row>
    <row r="43" spans="2:37" x14ac:dyDescent="0.4">
      <c r="B43" s="142"/>
      <c r="C43" s="216" t="s">
        <v>259</v>
      </c>
      <c r="D43" s="227">
        <v>72.44</v>
      </c>
      <c r="E43" s="227">
        <v>-1.4800000000000004</v>
      </c>
      <c r="F43" s="218">
        <v>4.7629127857747672E-2</v>
      </c>
      <c r="G43" s="218">
        <v>5.7794767748746374E-2</v>
      </c>
      <c r="R43" t="s">
        <v>287</v>
      </c>
      <c r="S43">
        <v>500</v>
      </c>
    </row>
    <row r="44" spans="2:37" ht="14.25" thickBot="1" x14ac:dyDescent="0.45">
      <c r="B44" s="142"/>
      <c r="C44" s="219" t="s">
        <v>290</v>
      </c>
      <c r="D44" s="228">
        <v>-32.340000000000373</v>
      </c>
      <c r="E44" s="228">
        <v>4.289999999999992</v>
      </c>
      <c r="F44" s="220">
        <v>0.10381923572729321</v>
      </c>
      <c r="G44" s="220">
        <v>9.7228039873752642E-2</v>
      </c>
      <c r="L44" s="142"/>
      <c r="R44" t="s">
        <v>286</v>
      </c>
      <c r="S44" s="153">
        <f>1/6</f>
        <v>0.16666666666666666</v>
      </c>
    </row>
    <row r="45" spans="2:37" ht="13.15" customHeight="1" x14ac:dyDescent="0.4">
      <c r="B45" s="142"/>
      <c r="C45" s="222" t="s">
        <v>260</v>
      </c>
      <c r="D45" s="226">
        <v>779.33999999999969</v>
      </c>
      <c r="E45" s="226">
        <v>-18.699999999999996</v>
      </c>
      <c r="F45" s="217">
        <v>1.5170465154787365E-2</v>
      </c>
      <c r="G45" s="217">
        <v>2.9994123560636594E-2</v>
      </c>
      <c r="R45" t="s">
        <v>282</v>
      </c>
      <c r="S45">
        <v>2.5000000000000001E-2</v>
      </c>
    </row>
    <row r="46" spans="2:37" x14ac:dyDescent="0.4">
      <c r="B46" s="142"/>
      <c r="C46" s="216" t="s">
        <v>261</v>
      </c>
      <c r="D46" s="226">
        <v>-75.480000000000018</v>
      </c>
      <c r="E46" s="226">
        <v>7.8000000000000007</v>
      </c>
      <c r="F46" s="217">
        <v>8.3748055730764534E-3</v>
      </c>
      <c r="G46" s="217">
        <v>5.657927381339794E-3</v>
      </c>
    </row>
    <row r="47" spans="2:37" x14ac:dyDescent="0.4">
      <c r="B47" s="142"/>
      <c r="C47" s="216" t="s">
        <v>262</v>
      </c>
      <c r="D47" s="226">
        <v>-1282.4369999999999</v>
      </c>
      <c r="E47" s="226">
        <v>7.1099999999999994</v>
      </c>
      <c r="F47" s="217">
        <v>1.515290606941286E-2</v>
      </c>
      <c r="G47" s="217">
        <v>1.0400623643523415E-2</v>
      </c>
      <c r="Q47" t="s">
        <v>288</v>
      </c>
      <c r="R47">
        <v>1</v>
      </c>
      <c r="S47">
        <v>2</v>
      </c>
      <c r="T47">
        <v>3</v>
      </c>
      <c r="U47">
        <v>4</v>
      </c>
      <c r="V47">
        <v>5</v>
      </c>
      <c r="W47">
        <v>6</v>
      </c>
      <c r="X47">
        <v>7</v>
      </c>
      <c r="Y47">
        <v>8</v>
      </c>
      <c r="Z47">
        <v>9</v>
      </c>
      <c r="AA47">
        <v>10</v>
      </c>
      <c r="AB47">
        <v>11</v>
      </c>
      <c r="AC47">
        <v>12</v>
      </c>
      <c r="AD47">
        <v>13</v>
      </c>
      <c r="AE47">
        <v>14</v>
      </c>
      <c r="AF47">
        <v>15</v>
      </c>
      <c r="AG47">
        <v>16</v>
      </c>
      <c r="AH47">
        <v>17</v>
      </c>
      <c r="AI47">
        <v>18</v>
      </c>
      <c r="AJ47">
        <v>19</v>
      </c>
      <c r="AK47">
        <v>20</v>
      </c>
    </row>
    <row r="48" spans="2:37" x14ac:dyDescent="0.4">
      <c r="B48" s="142"/>
      <c r="C48" s="216" t="s">
        <v>263</v>
      </c>
      <c r="D48" s="226">
        <v>-896.39549999999963</v>
      </c>
      <c r="E48" s="226">
        <v>3.4400000000000013</v>
      </c>
      <c r="F48" s="217">
        <v>3.4224152196421706E-3</v>
      </c>
      <c r="G48" s="217">
        <v>2.4701030463189682E-3</v>
      </c>
      <c r="Q48" t="s">
        <v>284</v>
      </c>
      <c r="R48" s="223">
        <v>12</v>
      </c>
      <c r="S48" s="223">
        <f>R48*1.3</f>
        <v>15.600000000000001</v>
      </c>
      <c r="T48" s="223">
        <f t="shared" ref="T48:V48" si="7">S48*1.3</f>
        <v>20.28</v>
      </c>
      <c r="U48" s="223">
        <f t="shared" si="7"/>
        <v>26.364000000000001</v>
      </c>
      <c r="V48" s="223">
        <f t="shared" si="7"/>
        <v>34.273200000000003</v>
      </c>
      <c r="W48" s="223">
        <f>V48*1.5</f>
        <v>51.409800000000004</v>
      </c>
      <c r="X48" s="223">
        <f t="shared" ref="X48:Z48" si="8">W48*1.5</f>
        <v>77.114699999999999</v>
      </c>
      <c r="Y48" s="223">
        <f>X48*1.5</f>
        <v>115.67205</v>
      </c>
      <c r="Z48" s="223">
        <f>Y48*1.3</f>
        <v>150.37366500000002</v>
      </c>
      <c r="AA48" s="223">
        <f t="shared" ref="AA48:AD48" si="9">Z48*1.3</f>
        <v>195.48576450000002</v>
      </c>
      <c r="AB48" s="223">
        <f t="shared" si="9"/>
        <v>254.13149385000003</v>
      </c>
      <c r="AC48" s="223">
        <f t="shared" si="9"/>
        <v>330.37094200500002</v>
      </c>
      <c r="AD48" s="223">
        <f>AC48*1.1</f>
        <v>363.40803620550003</v>
      </c>
      <c r="AE48" s="223">
        <f>AD48*1.05</f>
        <v>381.57843801577502</v>
      </c>
      <c r="AF48" s="223">
        <f t="shared" ref="AF48:AK48" si="10">AE48*1.05</f>
        <v>400.65735991656379</v>
      </c>
      <c r="AG48" s="223">
        <f t="shared" si="10"/>
        <v>420.690227912392</v>
      </c>
      <c r="AH48" s="223">
        <f t="shared" si="10"/>
        <v>441.72473930801164</v>
      </c>
      <c r="AI48" s="223">
        <f t="shared" si="10"/>
        <v>463.81097627341222</v>
      </c>
      <c r="AJ48" s="223">
        <f t="shared" si="10"/>
        <v>487.00152508708288</v>
      </c>
      <c r="AK48" s="223">
        <f t="shared" si="10"/>
        <v>511.35160134143706</v>
      </c>
    </row>
    <row r="49" spans="2:37" x14ac:dyDescent="0.4">
      <c r="B49" s="142"/>
      <c r="C49" s="216" t="s">
        <v>264</v>
      </c>
      <c r="D49" s="226">
        <v>395.15999999999985</v>
      </c>
      <c r="E49" s="226">
        <v>25.430000000000007</v>
      </c>
      <c r="F49" s="217">
        <v>1.7309936441942893E-2</v>
      </c>
      <c r="G49" s="217">
        <v>1.5201505292682568E-2</v>
      </c>
      <c r="P49" t="s">
        <v>283</v>
      </c>
      <c r="Q49">
        <f>SUM(R49:AK49)</f>
        <v>3314.2419980641025</v>
      </c>
      <c r="R49">
        <f>R48/(1+$S$45)^R47</f>
        <v>11.707317073170733</v>
      </c>
      <c r="S49">
        <f t="shared" ref="S49:AK49" si="11">S48/(1+$S$45)^S47</f>
        <v>14.848304580606785</v>
      </c>
      <c r="T49">
        <f t="shared" si="11"/>
        <v>18.831996053452507</v>
      </c>
      <c r="U49">
        <f t="shared" si="11"/>
        <v>23.884482799500741</v>
      </c>
      <c r="V49">
        <f t="shared" si="11"/>
        <v>30.292514770098506</v>
      </c>
      <c r="W49">
        <f t="shared" si="11"/>
        <v>44.330509419656352</v>
      </c>
      <c r="X49">
        <f t="shared" si="11"/>
        <v>64.873916223887335</v>
      </c>
      <c r="Y49">
        <f t="shared" si="11"/>
        <v>94.937438376420502</v>
      </c>
      <c r="Z49">
        <f t="shared" si="11"/>
        <v>120.40845842863092</v>
      </c>
      <c r="AA49">
        <f t="shared" si="11"/>
        <v>152.71316678753189</v>
      </c>
      <c r="AB49">
        <f t="shared" si="11"/>
        <v>193.68499202321118</v>
      </c>
      <c r="AC49">
        <f t="shared" si="11"/>
        <v>245.64925817578006</v>
      </c>
      <c r="AD49">
        <f t="shared" si="11"/>
        <v>263.62359413986155</v>
      </c>
      <c r="AE49">
        <f t="shared" si="11"/>
        <v>270.05343789937035</v>
      </c>
      <c r="AF49">
        <f t="shared" si="11"/>
        <v>276.64010711642817</v>
      </c>
      <c r="AG49">
        <f t="shared" si="11"/>
        <v>283.38742680219474</v>
      </c>
      <c r="AH49">
        <f t="shared" si="11"/>
        <v>290.29931526078491</v>
      </c>
      <c r="AI49">
        <f t="shared" si="11"/>
        <v>297.37978636470649</v>
      </c>
      <c r="AJ49">
        <f t="shared" si="11"/>
        <v>304.6329518857969</v>
      </c>
      <c r="AK49">
        <f t="shared" si="11"/>
        <v>312.06302388301157</v>
      </c>
    </row>
    <row r="50" spans="2:37" x14ac:dyDescent="0.4">
      <c r="B50" s="142"/>
      <c r="C50" s="216" t="s">
        <v>265</v>
      </c>
      <c r="D50" s="226">
        <v>87.158500000000458</v>
      </c>
      <c r="E50" s="226">
        <v>3.610000000000003</v>
      </c>
      <c r="F50" s="217">
        <v>6.5368320174782144E-3</v>
      </c>
      <c r="G50" s="217">
        <v>5.5602515572157436E-3</v>
      </c>
      <c r="P50" t="s">
        <v>285</v>
      </c>
      <c r="Q50">
        <f>S44*S43+(1-S44)*(Q49+S43)</f>
        <v>3261.8683317200857</v>
      </c>
    </row>
    <row r="51" spans="2:37" x14ac:dyDescent="0.4">
      <c r="B51" s="142"/>
      <c r="C51" s="216" t="s">
        <v>266</v>
      </c>
      <c r="D51" s="226">
        <v>348.3154999999997</v>
      </c>
      <c r="E51" s="226">
        <v>4.4400000000000013</v>
      </c>
      <c r="F51" s="217">
        <v>1.3013999989397965E-2</v>
      </c>
      <c r="G51" s="217">
        <v>1.3132663512189825E-2</v>
      </c>
    </row>
    <row r="52" spans="2:37" x14ac:dyDescent="0.4">
      <c r="B52" s="142"/>
      <c r="C52" s="216" t="s">
        <v>267</v>
      </c>
      <c r="D52" s="227">
        <v>105.81999999999971</v>
      </c>
      <c r="E52" s="227">
        <v>7</v>
      </c>
      <c r="F52" s="218">
        <v>9.8994418480303267E-3</v>
      </c>
      <c r="G52" s="218">
        <v>7.2807995417715522E-3</v>
      </c>
    </row>
    <row r="53" spans="2:37" ht="14.25" thickBot="1" x14ac:dyDescent="0.45">
      <c r="B53" s="142"/>
      <c r="C53" s="219" t="s">
        <v>247</v>
      </c>
      <c r="D53" s="228">
        <v>-538.51849999999831</v>
      </c>
      <c r="E53" s="228">
        <v>40.129999999999995</v>
      </c>
      <c r="F53" s="220">
        <v>1.1632906132079162E-2</v>
      </c>
      <c r="G53" s="220">
        <v>1.020837777832637E-2</v>
      </c>
      <c r="Q53">
        <f>Q50-Q49</f>
        <v>-52.373666344016783</v>
      </c>
      <c r="R53">
        <v>500</v>
      </c>
      <c r="S53">
        <v>600</v>
      </c>
      <c r="T53">
        <v>700</v>
      </c>
      <c r="U53">
        <v>800</v>
      </c>
      <c r="V53">
        <v>900</v>
      </c>
      <c r="W53">
        <v>1000</v>
      </c>
      <c r="X53">
        <v>1100</v>
      </c>
    </row>
    <row r="54" spans="2:37" x14ac:dyDescent="0.4">
      <c r="B54" s="142"/>
      <c r="C54" s="222" t="s">
        <v>268</v>
      </c>
      <c r="D54" s="226">
        <v>389.32399999999961</v>
      </c>
      <c r="E54" s="226">
        <v>32.86</v>
      </c>
      <c r="F54" s="217">
        <v>7.3301772011612643E-2</v>
      </c>
      <c r="G54" s="217">
        <v>6.8698582572500957E-2</v>
      </c>
      <c r="Q54" s="205">
        <v>0.05</v>
      </c>
      <c r="R54" s="223">
        <f t="dataTable" ref="R54:X64" dt2D="1" dtr="1" r1="S43" r2="S44"/>
        <v>334.2879000967946</v>
      </c>
      <c r="S54" s="223">
        <v>434.2879000967946</v>
      </c>
      <c r="T54" s="223">
        <v>534.2879000967946</v>
      </c>
      <c r="U54" s="223">
        <v>634.2879000967946</v>
      </c>
      <c r="V54" s="223">
        <v>734.2879000967946</v>
      </c>
      <c r="W54" s="223">
        <v>834.28790009679506</v>
      </c>
      <c r="X54" s="223">
        <v>934.28790009679506</v>
      </c>
    </row>
    <row r="55" spans="2:37" x14ac:dyDescent="0.4">
      <c r="B55" s="142"/>
      <c r="C55" s="216" t="s">
        <v>269</v>
      </c>
      <c r="D55" s="226">
        <v>79.858452000000057</v>
      </c>
      <c r="E55" s="226">
        <v>4.0750200000000021</v>
      </c>
      <c r="F55" s="217">
        <v>2.535274933374718E-2</v>
      </c>
      <c r="G55" s="217">
        <v>2.3001352262615418E-2</v>
      </c>
      <c r="Q55" s="205">
        <v>7.0000000000000007E-2</v>
      </c>
      <c r="R55" s="223">
        <v>268.00306013551244</v>
      </c>
      <c r="S55" s="223">
        <v>368.00306013551244</v>
      </c>
      <c r="T55" s="223">
        <v>468.00306013551244</v>
      </c>
      <c r="U55" s="223">
        <v>568.00306013551244</v>
      </c>
      <c r="V55" s="223">
        <v>668.00306013551244</v>
      </c>
      <c r="W55" s="223">
        <v>768.00306013551244</v>
      </c>
      <c r="X55" s="223">
        <v>868.0030601355129</v>
      </c>
    </row>
    <row r="56" spans="2:37" x14ac:dyDescent="0.4">
      <c r="B56" s="142"/>
      <c r="C56" s="216" t="s">
        <v>270</v>
      </c>
      <c r="D56" s="226">
        <v>10.147835999999984</v>
      </c>
      <c r="E56" s="226">
        <v>-1.9524500000000002</v>
      </c>
      <c r="F56" s="217">
        <v>5.8584340462425914E-3</v>
      </c>
      <c r="G56" s="217">
        <v>1.0894253883239769E-2</v>
      </c>
      <c r="Q56" s="205">
        <v>0.09</v>
      </c>
      <c r="R56" s="223">
        <v>201.71822017423074</v>
      </c>
      <c r="S56" s="223">
        <v>301.71822017423074</v>
      </c>
      <c r="T56" s="223">
        <v>401.71822017423074</v>
      </c>
      <c r="U56" s="223">
        <v>501.71822017423074</v>
      </c>
      <c r="V56" s="223">
        <v>601.71822017423074</v>
      </c>
      <c r="W56" s="223">
        <v>701.71822017423074</v>
      </c>
      <c r="X56" s="223">
        <v>801.71822017423074</v>
      </c>
    </row>
    <row r="57" spans="2:37" x14ac:dyDescent="0.4">
      <c r="B57" s="142"/>
      <c r="C57" s="216" t="s">
        <v>271</v>
      </c>
      <c r="D57" s="226">
        <v>-370.25802799999997</v>
      </c>
      <c r="E57" s="226">
        <v>14.223880000000008</v>
      </c>
      <c r="F57" s="217">
        <v>0.11684341431843737</v>
      </c>
      <c r="G57" s="217">
        <v>5.6314904287886013E-2</v>
      </c>
      <c r="Q57" s="205">
        <v>0.11</v>
      </c>
      <c r="R57" s="223">
        <v>135.43338021294858</v>
      </c>
      <c r="S57" s="223">
        <v>235.43338021294858</v>
      </c>
      <c r="T57" s="223">
        <v>335.43338021294858</v>
      </c>
      <c r="U57" s="223">
        <v>435.43338021294858</v>
      </c>
      <c r="V57" s="223">
        <v>535.43338021294858</v>
      </c>
      <c r="W57" s="223">
        <v>635.43338021294858</v>
      </c>
      <c r="X57" s="223">
        <v>735.43338021294858</v>
      </c>
    </row>
    <row r="58" spans="2:37" x14ac:dyDescent="0.4">
      <c r="B58" s="142"/>
      <c r="C58" s="216" t="s">
        <v>272</v>
      </c>
      <c r="D58" s="226">
        <v>81.508812000000006</v>
      </c>
      <c r="E58" s="226">
        <v>6.7115900000000011</v>
      </c>
      <c r="F58" s="217">
        <v>4.7185771306163006E-2</v>
      </c>
      <c r="G58" s="217">
        <v>3.4386889855203322E-2</v>
      </c>
      <c r="Q58" s="205">
        <v>0.13</v>
      </c>
      <c r="R58" s="223">
        <v>69.148540251666873</v>
      </c>
      <c r="S58" s="223">
        <v>169.14854025166687</v>
      </c>
      <c r="T58" s="223">
        <v>269.14854025166687</v>
      </c>
      <c r="U58" s="223">
        <v>369.14854025166687</v>
      </c>
      <c r="V58" s="223">
        <v>469.14854025166687</v>
      </c>
      <c r="W58" s="223">
        <v>569.14854025166687</v>
      </c>
      <c r="X58" s="223">
        <v>669.14854025166687</v>
      </c>
    </row>
    <row r="59" spans="2:37" x14ac:dyDescent="0.4">
      <c r="B59" s="142"/>
      <c r="C59" s="216" t="s">
        <v>273</v>
      </c>
      <c r="D59" s="226">
        <v>74.52939600000002</v>
      </c>
      <c r="E59" s="226">
        <v>0.25</v>
      </c>
      <c r="F59" s="217">
        <v>8.2527478841007973E-3</v>
      </c>
      <c r="G59" s="217">
        <v>9.9893331047012836E-3</v>
      </c>
      <c r="Q59" s="205">
        <v>0.15</v>
      </c>
      <c r="R59" s="223">
        <v>2.8637002903847133</v>
      </c>
      <c r="S59" s="223">
        <v>102.86370029038471</v>
      </c>
      <c r="T59" s="223">
        <v>202.86370029038471</v>
      </c>
      <c r="U59" s="223">
        <v>302.86370029038471</v>
      </c>
      <c r="V59" s="223">
        <v>402.86370029038471</v>
      </c>
      <c r="W59" s="223">
        <v>502.86370029038471</v>
      </c>
      <c r="X59" s="223">
        <v>602.86370029038471</v>
      </c>
    </row>
    <row r="60" spans="2:37" x14ac:dyDescent="0.4">
      <c r="B60" s="142"/>
      <c r="C60" s="216" t="s">
        <v>274</v>
      </c>
      <c r="D60" s="227">
        <v>0</v>
      </c>
      <c r="E60" s="227">
        <v>10.281279999999999</v>
      </c>
      <c r="F60" s="218" t="s">
        <v>249</v>
      </c>
      <c r="G60" s="218" t="s">
        <v>249</v>
      </c>
      <c r="Q60" s="205">
        <v>0.17</v>
      </c>
      <c r="R60" s="223">
        <v>-63.421139670897446</v>
      </c>
      <c r="S60" s="223">
        <v>36.578860329102554</v>
      </c>
      <c r="T60" s="223">
        <v>136.57886032910255</v>
      </c>
      <c r="U60" s="223">
        <v>236.57886032910255</v>
      </c>
      <c r="V60" s="223">
        <v>336.57886032910255</v>
      </c>
      <c r="W60" s="223">
        <v>436.57886032910255</v>
      </c>
      <c r="X60" s="223">
        <v>536.57886032910255</v>
      </c>
    </row>
    <row r="61" spans="2:37" ht="14.25" thickBot="1" x14ac:dyDescent="0.45">
      <c r="B61" s="142"/>
      <c r="C61" s="219" t="s">
        <v>248</v>
      </c>
      <c r="D61" s="228">
        <v>265.11046799999895</v>
      </c>
      <c r="E61" s="228">
        <v>66.449320000000029</v>
      </c>
      <c r="F61" s="220">
        <v>6.0305174099510563E-2</v>
      </c>
      <c r="G61" s="220">
        <v>4.6265542965557994E-2</v>
      </c>
      <c r="Q61" s="205">
        <v>0.19</v>
      </c>
      <c r="R61" s="223">
        <v>-129.70597963217915</v>
      </c>
      <c r="S61" s="223">
        <v>-29.705979632179151</v>
      </c>
      <c r="T61" s="223">
        <v>70.294020367820849</v>
      </c>
      <c r="U61" s="223">
        <v>170.29402036782085</v>
      </c>
      <c r="V61" s="223">
        <v>270.29402036782085</v>
      </c>
      <c r="W61" s="223">
        <v>370.29402036782085</v>
      </c>
      <c r="X61" s="223">
        <v>470.29402036782085</v>
      </c>
    </row>
    <row r="62" spans="2:37" x14ac:dyDescent="0.4">
      <c r="B62" s="142"/>
      <c r="C62" s="222" t="s">
        <v>275</v>
      </c>
      <c r="D62" s="226">
        <v>-6.0275200000000062</v>
      </c>
      <c r="E62" s="226">
        <v>0.65652999999999995</v>
      </c>
      <c r="F62" s="217">
        <v>3.8149815152435936E-2</v>
      </c>
      <c r="G62" s="217">
        <v>1.4586487589949473E-2</v>
      </c>
      <c r="Q62" s="205">
        <v>0.21</v>
      </c>
      <c r="R62" s="223">
        <v>-195.99081959346131</v>
      </c>
      <c r="S62" s="223">
        <v>-95.99081959346131</v>
      </c>
      <c r="T62" s="223">
        <v>4.0091804065386896</v>
      </c>
      <c r="U62" s="223">
        <v>104.00918040653869</v>
      </c>
      <c r="V62" s="223">
        <v>204.00918040653869</v>
      </c>
      <c r="W62" s="223">
        <v>304.00918040653869</v>
      </c>
      <c r="X62" s="223">
        <v>404.00918040653869</v>
      </c>
    </row>
    <row r="63" spans="2:37" x14ac:dyDescent="0.4">
      <c r="B63" s="142"/>
      <c r="C63" s="216" t="s">
        <v>276</v>
      </c>
      <c r="D63" s="226">
        <v>5.4623999999999953</v>
      </c>
      <c r="E63" s="226">
        <v>0.28661999999999965</v>
      </c>
      <c r="F63" s="217">
        <v>4.312125942972727E-2</v>
      </c>
      <c r="G63" s="217">
        <v>4.2132221586287544E-2</v>
      </c>
      <c r="Q63" s="205">
        <v>0.23</v>
      </c>
      <c r="R63" s="223">
        <v>-262.27565955474347</v>
      </c>
      <c r="S63" s="223">
        <v>-162.27565955474347</v>
      </c>
      <c r="T63" s="223">
        <v>-62.27565955474347</v>
      </c>
      <c r="U63" s="223">
        <v>37.72434044525653</v>
      </c>
      <c r="V63" s="223">
        <v>137.72434044525653</v>
      </c>
      <c r="W63" s="223">
        <v>237.72434044525653</v>
      </c>
      <c r="X63" s="223">
        <v>337.72434044525653</v>
      </c>
    </row>
    <row r="64" spans="2:37" x14ac:dyDescent="0.4">
      <c r="B64" s="142"/>
      <c r="C64" s="216" t="s">
        <v>277</v>
      </c>
      <c r="D64" s="226">
        <v>-3.6</v>
      </c>
      <c r="E64" s="226">
        <v>0</v>
      </c>
      <c r="F64" s="217" t="s">
        <v>249</v>
      </c>
      <c r="G64" s="217" t="s">
        <v>249</v>
      </c>
      <c r="Q64" s="205">
        <v>0.25</v>
      </c>
      <c r="R64" s="223">
        <v>-328.56049951602563</v>
      </c>
      <c r="S64" s="223">
        <v>-228.56049951602563</v>
      </c>
      <c r="T64" s="223">
        <v>-128.56049951602563</v>
      </c>
      <c r="U64" s="223">
        <v>-28.560499516025629</v>
      </c>
      <c r="V64" s="223">
        <v>71.439500483974371</v>
      </c>
      <c r="W64" s="223">
        <v>171.43950048397437</v>
      </c>
      <c r="X64" s="223">
        <v>271.43950048397437</v>
      </c>
    </row>
    <row r="65" spans="2:7" x14ac:dyDescent="0.4">
      <c r="B65" s="142"/>
      <c r="C65" s="216" t="s">
        <v>278</v>
      </c>
      <c r="D65" s="226">
        <v>0</v>
      </c>
      <c r="E65" s="226">
        <v>0</v>
      </c>
      <c r="F65" s="217" t="s">
        <v>249</v>
      </c>
      <c r="G65" s="217" t="s">
        <v>249</v>
      </c>
    </row>
    <row r="66" spans="2:7" x14ac:dyDescent="0.4">
      <c r="B66" s="142"/>
      <c r="C66" s="216" t="s">
        <v>279</v>
      </c>
      <c r="D66" s="226">
        <v>4.4865754241200015</v>
      </c>
      <c r="E66" s="226">
        <v>0.52949999999999997</v>
      </c>
      <c r="F66" s="217">
        <v>0.16623025760479529</v>
      </c>
      <c r="G66" s="217">
        <v>0.34340286380851121</v>
      </c>
    </row>
    <row r="67" spans="2:7" ht="14.25" thickBot="1" x14ac:dyDescent="0.45">
      <c r="B67" s="142"/>
      <c r="C67" s="221" t="s">
        <v>291</v>
      </c>
      <c r="D67" s="228">
        <v>0.32145542411998917</v>
      </c>
      <c r="E67" s="228">
        <v>1.4726499999999989</v>
      </c>
      <c r="F67" s="220">
        <v>4.8900380613001004E-2</v>
      </c>
      <c r="G67" s="220">
        <v>3.3414711098688023E-2</v>
      </c>
    </row>
    <row r="68" spans="2:7" ht="14.25" thickBot="1" x14ac:dyDescent="0.45">
      <c r="C68" s="221" t="s">
        <v>280</v>
      </c>
      <c r="D68" s="229">
        <v>-305.42657657588279</v>
      </c>
      <c r="E68" s="229">
        <v>112.34196999999983</v>
      </c>
      <c r="F68" s="224">
        <v>1.9591097828070593E-2</v>
      </c>
      <c r="G68" s="224">
        <v>1.6428743039404076E-2</v>
      </c>
    </row>
  </sheetData>
  <phoneticPr fontId="1" type="noConversion"/>
  <conditionalFormatting sqref="R54:X64">
    <cfRule type="cellIs" dxfId="1" priority="1"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
  <sheetViews>
    <sheetView showGridLines="0" topLeftCell="A13" workbookViewId="0">
      <selection activeCell="C35" sqref="C35"/>
    </sheetView>
  </sheetViews>
  <sheetFormatPr defaultRowHeight="13.9" x14ac:dyDescent="0.4"/>
  <cols>
    <col min="4" max="4" width="25" bestFit="1" customWidth="1"/>
    <col min="5" max="5" width="19.265625" bestFit="1" customWidth="1"/>
    <col min="6" max="6" width="24.86328125" customWidth="1"/>
    <col min="7" max="7" width="11.59765625" bestFit="1" customWidth="1"/>
    <col min="8" max="8" width="17.1328125" customWidth="1"/>
    <col min="9" max="9" width="19" customWidth="1"/>
    <col min="10" max="10" width="26.46484375" customWidth="1"/>
    <col min="11" max="11" width="13.3984375" customWidth="1"/>
  </cols>
  <sheetData>
    <row r="1" spans="2:8" s="69" customFormat="1" ht="13.5" x14ac:dyDescent="0.3">
      <c r="B1" s="112" t="s">
        <v>203</v>
      </c>
      <c r="C1" s="113"/>
      <c r="D1" s="113"/>
      <c r="E1" s="113"/>
    </row>
    <row r="2" spans="2:8" s="69" customFormat="1" ht="13.5" x14ac:dyDescent="0.3">
      <c r="B2" s="110" t="s">
        <v>209</v>
      </c>
    </row>
    <row r="3" spans="2:8" s="69" customFormat="1" ht="13.5" x14ac:dyDescent="0.3">
      <c r="B3" s="69" t="s">
        <v>202</v>
      </c>
    </row>
    <row r="4" spans="2:8" s="69" customFormat="1" ht="13.5" x14ac:dyDescent="0.3">
      <c r="B4" s="69" t="s">
        <v>204</v>
      </c>
    </row>
    <row r="5" spans="2:8" s="69" customFormat="1" ht="13.5" x14ac:dyDescent="0.3">
      <c r="B5" s="69" t="s">
        <v>205</v>
      </c>
    </row>
    <row r="6" spans="2:8" s="69" customFormat="1" ht="13.5" x14ac:dyDescent="0.3">
      <c r="B6" s="69" t="s">
        <v>206</v>
      </c>
    </row>
    <row r="7" spans="2:8" s="69" customFormat="1" thickBot="1" x14ac:dyDescent="0.35">
      <c r="B7" s="69" t="s">
        <v>207</v>
      </c>
    </row>
    <row r="8" spans="2:8" x14ac:dyDescent="0.4">
      <c r="B8" s="76"/>
      <c r="C8" s="71"/>
      <c r="D8" s="101"/>
      <c r="E8" s="101"/>
      <c r="F8" s="101"/>
      <c r="G8" s="101"/>
      <c r="H8" s="102"/>
    </row>
    <row r="9" spans="2:8" ht="14.65" thickBot="1" x14ac:dyDescent="0.45">
      <c r="B9" s="111" t="s">
        <v>208</v>
      </c>
      <c r="C9" s="103" t="s">
        <v>41</v>
      </c>
      <c r="D9" s="104" t="s">
        <v>198</v>
      </c>
      <c r="E9" s="104" t="s">
        <v>199</v>
      </c>
      <c r="F9" s="104" t="s">
        <v>200</v>
      </c>
      <c r="G9" s="105" t="s">
        <v>201</v>
      </c>
      <c r="H9" s="148" t="s">
        <v>214</v>
      </c>
    </row>
    <row r="10" spans="2:8" ht="14.25" x14ac:dyDescent="0.4">
      <c r="B10" s="183" t="s">
        <v>5</v>
      </c>
      <c r="C10" s="83" t="s">
        <v>42</v>
      </c>
      <c r="D10" s="13">
        <f>非标类信贷!D16</f>
        <v>329.14600000000002</v>
      </c>
      <c r="E10" s="13">
        <f>非标类信贷!P16</f>
        <v>7.5813074817200956</v>
      </c>
      <c r="F10" s="13">
        <f>非标类信贷!Q16</f>
        <v>4.9371900000000002</v>
      </c>
      <c r="G10" s="13">
        <f>E10-F10</f>
        <v>2.6441174817200954</v>
      </c>
      <c r="H10" s="107">
        <f>非标类信贷!T16</f>
        <v>-8.6411891948105996E-4</v>
      </c>
    </row>
    <row r="11" spans="2:8" ht="14.25" x14ac:dyDescent="0.4">
      <c r="B11" s="173"/>
      <c r="C11" s="83" t="s">
        <v>14</v>
      </c>
      <c r="D11" s="13">
        <f>非标类信贷!D17</f>
        <v>111.306</v>
      </c>
      <c r="E11" s="13">
        <f>非标类信贷!P17</f>
        <v>2.5651319919227764</v>
      </c>
      <c r="F11" s="13">
        <f>非标类信贷!Q17</f>
        <v>1.6695899999999999</v>
      </c>
      <c r="G11" s="13">
        <f t="shared" ref="G11:G34" si="0">E11-F11</f>
        <v>0.8955419919227765</v>
      </c>
      <c r="H11" s="107">
        <f>非标类信贷!T17</f>
        <v>-3.2367661755642891E-4</v>
      </c>
    </row>
    <row r="12" spans="2:8" ht="14.25" x14ac:dyDescent="0.4">
      <c r="B12" s="173"/>
      <c r="C12" s="83" t="s">
        <v>15</v>
      </c>
      <c r="D12" s="13">
        <f>非标类信贷!D18</f>
        <v>110.08399999999983</v>
      </c>
      <c r="E12" s="13">
        <f>非标类信贷!P18</f>
        <v>3.0973148615711295</v>
      </c>
      <c r="F12" s="13">
        <f>非标类信贷!Q18</f>
        <v>1.6512599999999975</v>
      </c>
      <c r="G12" s="13">
        <f t="shared" si="0"/>
        <v>1.4460548615711319</v>
      </c>
      <c r="H12" s="107">
        <f>非标类信贷!T18</f>
        <v>-6.6581403109368549E-4</v>
      </c>
    </row>
    <row r="13" spans="2:8" ht="14.25" x14ac:dyDescent="0.4">
      <c r="B13" s="173"/>
      <c r="C13" s="83" t="s">
        <v>16</v>
      </c>
      <c r="D13" s="13">
        <f>非标类信贷!D19</f>
        <v>19.954000000000001</v>
      </c>
      <c r="E13" s="13">
        <f>非标类信贷!P19</f>
        <v>0.47127069908718699</v>
      </c>
      <c r="F13" s="13">
        <f>非标类信贷!Q19</f>
        <v>0.29931000000000002</v>
      </c>
      <c r="G13" s="13">
        <f t="shared" si="0"/>
        <v>0.17196069908718697</v>
      </c>
      <c r="H13" s="107">
        <f>非标类信贷!T19</f>
        <v>-8.2920580136554612E-5</v>
      </c>
    </row>
    <row r="14" spans="2:8" ht="14.65" thickBot="1" x14ac:dyDescent="0.45">
      <c r="B14" s="174"/>
      <c r="C14" s="84" t="s">
        <v>17</v>
      </c>
      <c r="D14" s="75">
        <f>非标类信贷!D20</f>
        <v>557.43200000000002</v>
      </c>
      <c r="E14" s="75">
        <f>非标类信贷!P20</f>
        <v>13.919972397468552</v>
      </c>
      <c r="F14" s="75">
        <f>非标类信贷!Q20</f>
        <v>8.3614800000000002</v>
      </c>
      <c r="G14" s="75">
        <f t="shared" si="0"/>
        <v>5.5584923974685516</v>
      </c>
      <c r="H14" s="108">
        <f>非标类信贷!T20</f>
        <v>-7.1308433578814003E-3</v>
      </c>
    </row>
    <row r="15" spans="2:8" ht="14.25" x14ac:dyDescent="0.4">
      <c r="B15" s="183" t="s">
        <v>39</v>
      </c>
      <c r="C15" s="71" t="s">
        <v>18</v>
      </c>
      <c r="D15" s="82">
        <f>非标类信贷!D21</f>
        <v>2838.41</v>
      </c>
      <c r="E15" s="82">
        <f>非标类信贷!P21</f>
        <v>71.417787254663779</v>
      </c>
      <c r="F15" s="82">
        <f>非标类信贷!Q21</f>
        <v>42.576149999999998</v>
      </c>
      <c r="G15" s="82">
        <f t="shared" si="0"/>
        <v>28.84163725466378</v>
      </c>
      <c r="H15" s="106">
        <f>非标类信贷!T21</f>
        <v>-3.6732516435293537E-2</v>
      </c>
    </row>
    <row r="16" spans="2:8" ht="14.25" x14ac:dyDescent="0.4">
      <c r="B16" s="173"/>
      <c r="C16" s="83" t="s">
        <v>19</v>
      </c>
      <c r="D16" s="13">
        <f>非标类信贷!D22</f>
        <v>3028.13</v>
      </c>
      <c r="E16" s="13">
        <f>非标类信贷!P22</f>
        <v>69.176419737309914</v>
      </c>
      <c r="F16" s="13">
        <f>非标类信贷!Q22</f>
        <v>45.421950000000002</v>
      </c>
      <c r="G16" s="13">
        <f t="shared" si="0"/>
        <v>23.754469737309911</v>
      </c>
      <c r="H16" s="107">
        <f>非标类信贷!T22</f>
        <v>-4.9465806791282971E-2</v>
      </c>
    </row>
    <row r="17" spans="2:8" ht="14.25" x14ac:dyDescent="0.4">
      <c r="B17" s="173"/>
      <c r="C17" s="83" t="s">
        <v>20</v>
      </c>
      <c r="D17" s="13">
        <f>非标类信贷!D23</f>
        <v>4302.8050000000003</v>
      </c>
      <c r="E17" s="13">
        <f>非标类信贷!P23</f>
        <v>115.90629217598364</v>
      </c>
      <c r="F17" s="13">
        <f>非标类信贷!Q23</f>
        <v>64.542074999999997</v>
      </c>
      <c r="G17" s="13">
        <f t="shared" si="0"/>
        <v>51.36421717598364</v>
      </c>
      <c r="H17" s="107">
        <f>非标类信贷!T23</f>
        <v>-9.1184479275667751E-2</v>
      </c>
    </row>
    <row r="18" spans="2:8" ht="14.25" x14ac:dyDescent="0.4">
      <c r="B18" s="173"/>
      <c r="C18" s="83" t="s">
        <v>21</v>
      </c>
      <c r="D18" s="13">
        <f>非标类信贷!D24</f>
        <v>5937.3275000000003</v>
      </c>
      <c r="E18" s="13">
        <f>非标类信贷!P24</f>
        <v>147.29898716147434</v>
      </c>
      <c r="F18" s="13">
        <f>非标类信贷!Q24</f>
        <v>89.059912499999996</v>
      </c>
      <c r="G18" s="13">
        <f t="shared" si="0"/>
        <v>58.239074661474348</v>
      </c>
      <c r="H18" s="107">
        <f>非标类信贷!T24</f>
        <v>-0.10367251969074756</v>
      </c>
    </row>
    <row r="19" spans="2:8" ht="14.25" x14ac:dyDescent="0.4">
      <c r="B19" s="173"/>
      <c r="C19" s="83" t="s">
        <v>22</v>
      </c>
      <c r="D19" s="13">
        <f>非标类信贷!D25</f>
        <v>9212.0499999999993</v>
      </c>
      <c r="E19" s="13">
        <f>非标类信贷!P25</f>
        <v>222.22783117765621</v>
      </c>
      <c r="F19" s="13">
        <f>非标类信贷!Q25</f>
        <v>138.18074999999999</v>
      </c>
      <c r="G19" s="13">
        <f t="shared" si="0"/>
        <v>84.047081177656224</v>
      </c>
      <c r="H19" s="107">
        <f>非标类信贷!T25</f>
        <v>-0.13298167965832763</v>
      </c>
    </row>
    <row r="20" spans="2:8" ht="14.25" x14ac:dyDescent="0.4">
      <c r="B20" s="173"/>
      <c r="C20" s="83" t="s">
        <v>23</v>
      </c>
      <c r="D20" s="13">
        <f>非标类信贷!D26</f>
        <v>3200.3270000000002</v>
      </c>
      <c r="E20" s="13">
        <f>非标类信贷!P26</f>
        <v>77.079712752391501</v>
      </c>
      <c r="F20" s="13">
        <f>非标类信贷!Q26</f>
        <v>48.004905000000001</v>
      </c>
      <c r="G20" s="13">
        <f t="shared" si="0"/>
        <v>29.0748077523915</v>
      </c>
      <c r="H20" s="107">
        <f>非标类信贷!T26</f>
        <v>-8.5822090301645615E-2</v>
      </c>
    </row>
    <row r="21" spans="2:8" ht="14.25" x14ac:dyDescent="0.4">
      <c r="B21" s="173"/>
      <c r="C21" s="83" t="s">
        <v>24</v>
      </c>
      <c r="D21" s="13">
        <f>非标类信贷!D27</f>
        <v>1131.8579999999999</v>
      </c>
      <c r="E21" s="13">
        <f>非标类信贷!P27</f>
        <v>27.930791256314173</v>
      </c>
      <c r="F21" s="13">
        <f>非标类信贷!Q27</f>
        <v>16.977869999999999</v>
      </c>
      <c r="G21" s="13">
        <f t="shared" si="0"/>
        <v>10.952921256314173</v>
      </c>
      <c r="H21" s="107">
        <f>非标类信贷!T27</f>
        <v>-5.567772090440308E-2</v>
      </c>
    </row>
    <row r="22" spans="2:8" ht="14.65" thickBot="1" x14ac:dyDescent="0.45">
      <c r="B22" s="174"/>
      <c r="C22" s="84" t="s">
        <v>25</v>
      </c>
      <c r="D22" s="75">
        <f>非标类信贷!D28</f>
        <v>2378.922</v>
      </c>
      <c r="E22" s="75">
        <f>非标类信贷!P28</f>
        <v>61.026343575185315</v>
      </c>
      <c r="F22" s="75">
        <f>非标类信贷!Q28</f>
        <v>35.68383</v>
      </c>
      <c r="G22" s="75">
        <f t="shared" si="0"/>
        <v>25.342513575185315</v>
      </c>
      <c r="H22" s="108">
        <f>非标类信贷!T28</f>
        <v>-0.10093401933720453</v>
      </c>
    </row>
    <row r="23" spans="2:8" ht="14.25" x14ac:dyDescent="0.4">
      <c r="B23" s="184" t="s">
        <v>52</v>
      </c>
      <c r="C23" s="71" t="s">
        <v>26</v>
      </c>
      <c r="D23" s="82">
        <f>非标类信贷!D29</f>
        <v>1328.2079999999999</v>
      </c>
      <c r="E23" s="82">
        <f>非标类信贷!P29</f>
        <v>26.674357582812902</v>
      </c>
      <c r="F23" s="82">
        <f>非标类信贷!Q29</f>
        <v>19.923119999999997</v>
      </c>
      <c r="G23" s="82">
        <f t="shared" si="0"/>
        <v>6.7512375828129052</v>
      </c>
      <c r="H23" s="106">
        <f>非标类信贷!T29</f>
        <v>-3.0468623444412424E-2</v>
      </c>
    </row>
    <row r="24" spans="2:8" ht="14.25" x14ac:dyDescent="0.4">
      <c r="B24" s="173"/>
      <c r="C24" s="83" t="s">
        <v>27</v>
      </c>
      <c r="D24" s="13">
        <f>非标类信贷!D30</f>
        <v>951.84588000000008</v>
      </c>
      <c r="E24" s="13">
        <f>非标类信贷!P30</f>
        <v>17.939583873057863</v>
      </c>
      <c r="F24" s="13">
        <f>非标类信贷!Q30</f>
        <v>14.2776882</v>
      </c>
      <c r="G24" s="13">
        <f t="shared" si="0"/>
        <v>3.6618956730578631</v>
      </c>
      <c r="H24" s="107">
        <f>非标类信贷!T30</f>
        <v>-3.5869098871039992E-2</v>
      </c>
    </row>
    <row r="25" spans="2:8" ht="14.25" x14ac:dyDescent="0.4">
      <c r="B25" s="173"/>
      <c r="C25" s="83" t="s">
        <v>28</v>
      </c>
      <c r="D25" s="13">
        <f>非标类信贷!D31</f>
        <v>409.66578800000002</v>
      </c>
      <c r="E25" s="13">
        <f>非标类信贷!P31</f>
        <v>7.8031921350446956</v>
      </c>
      <c r="F25" s="13">
        <f>非标类信贷!Q31</f>
        <v>6.1449868199999997</v>
      </c>
      <c r="G25" s="13">
        <f t="shared" si="0"/>
        <v>1.6582053150446958</v>
      </c>
      <c r="H25" s="107">
        <f>非标类信贷!T31</f>
        <v>-1.7398056810996307E-2</v>
      </c>
    </row>
    <row r="26" spans="2:8" ht="14.25" x14ac:dyDescent="0.4">
      <c r="B26" s="173"/>
      <c r="C26" s="83" t="s">
        <v>29</v>
      </c>
      <c r="D26" s="13">
        <f>非标类信贷!D32</f>
        <v>579.47775999999999</v>
      </c>
      <c r="E26" s="13">
        <f>非标类信贷!P32</f>
        <v>12.609482078502182</v>
      </c>
      <c r="F26" s="13">
        <f>非标类信贷!Q32</f>
        <v>8.6921663999999996</v>
      </c>
      <c r="G26" s="13">
        <f t="shared" si="0"/>
        <v>3.9173156785021828</v>
      </c>
      <c r="H26" s="107">
        <f>非标类信贷!T32</f>
        <v>-2.5124342830443035E-2</v>
      </c>
    </row>
    <row r="27" spans="2:8" ht="14.25" x14ac:dyDescent="0.4">
      <c r="B27" s="173"/>
      <c r="C27" s="83" t="s">
        <v>30</v>
      </c>
      <c r="D27" s="13">
        <f>非标类信贷!D33</f>
        <v>305.39820800000001</v>
      </c>
      <c r="E27" s="13">
        <f>非标类信贷!P33</f>
        <v>7.1311098798529935</v>
      </c>
      <c r="F27" s="13">
        <f>非标类信贷!Q33</f>
        <v>4.5809731200000003</v>
      </c>
      <c r="G27" s="13">
        <f t="shared" si="0"/>
        <v>2.5501367598529932</v>
      </c>
      <c r="H27" s="107">
        <f>非标类信贷!T33</f>
        <v>-6.7036004549081998E-2</v>
      </c>
    </row>
    <row r="28" spans="2:8" ht="14.25" x14ac:dyDescent="0.4">
      <c r="B28" s="173"/>
      <c r="C28" s="83" t="s">
        <v>31</v>
      </c>
      <c r="D28" s="13">
        <f>非标类信贷!D34</f>
        <v>284.75364000000002</v>
      </c>
      <c r="E28" s="13">
        <f>非标类信贷!P34</f>
        <v>7.3210679804578529</v>
      </c>
      <c r="F28" s="13">
        <f>非标类信贷!Q34</f>
        <v>4.2713046000000006</v>
      </c>
      <c r="G28" s="13">
        <f t="shared" si="0"/>
        <v>3.0497633804578523</v>
      </c>
      <c r="H28" s="107">
        <f>非标类信贷!T34</f>
        <v>-6.024535749717521E-2</v>
      </c>
    </row>
    <row r="29" spans="2:8" ht="14.65" thickBot="1" x14ac:dyDescent="0.45">
      <c r="B29" s="174"/>
      <c r="C29" s="84" t="s">
        <v>32</v>
      </c>
      <c r="D29" s="75">
        <f>非标类信贷!D35</f>
        <v>0</v>
      </c>
      <c r="E29" s="75">
        <f>非标类信贷!P35</f>
        <v>0</v>
      </c>
      <c r="F29" s="75">
        <f>非标类信贷!Q35</f>
        <v>0</v>
      </c>
      <c r="G29" s="75">
        <f t="shared" si="0"/>
        <v>0</v>
      </c>
      <c r="H29" s="108">
        <f>非标类信贷!T35</f>
        <v>0</v>
      </c>
    </row>
    <row r="30" spans="2:8" ht="14.25" x14ac:dyDescent="0.4">
      <c r="B30" s="173" t="s">
        <v>10</v>
      </c>
      <c r="C30" s="71" t="s">
        <v>33</v>
      </c>
      <c r="D30" s="82">
        <f>非标类信贷!D36</f>
        <v>31.593599999999999</v>
      </c>
      <c r="E30" s="82">
        <f>非标类信贷!P36</f>
        <v>0.62238027841690013</v>
      </c>
      <c r="F30" s="82">
        <f>非标类信贷!Q36</f>
        <v>0.47390399999999994</v>
      </c>
      <c r="G30" s="82">
        <f t="shared" si="0"/>
        <v>0.1484762784169002</v>
      </c>
      <c r="H30" s="106">
        <f>非标类信贷!T36</f>
        <v>-1.4226771532032136E-2</v>
      </c>
    </row>
    <row r="31" spans="2:8" ht="14.25" x14ac:dyDescent="0.4">
      <c r="B31" s="173"/>
      <c r="C31" s="83" t="s">
        <v>34</v>
      </c>
      <c r="D31" s="13">
        <f>非标类信贷!D37</f>
        <v>57.102924000000002</v>
      </c>
      <c r="E31" s="13">
        <f>非标类信贷!P37</f>
        <v>1.1014537399750419</v>
      </c>
      <c r="F31" s="13">
        <f>非标类信贷!Q37</f>
        <v>0.85654386000000005</v>
      </c>
      <c r="G31" s="13">
        <f t="shared" si="0"/>
        <v>0.24490987997504188</v>
      </c>
      <c r="H31" s="107">
        <f>非标类信贷!T37</f>
        <v>-2.1447426585595501E-2</v>
      </c>
    </row>
    <row r="32" spans="2:8" ht="14.25" x14ac:dyDescent="0.4">
      <c r="B32" s="173"/>
      <c r="C32" s="83" t="s">
        <v>35</v>
      </c>
      <c r="D32" s="13">
        <f>非标类信贷!D38</f>
        <v>0</v>
      </c>
      <c r="E32" s="13">
        <f>非标类信贷!P38</f>
        <v>0</v>
      </c>
      <c r="F32" s="13">
        <f>非标类信贷!Q38</f>
        <v>0</v>
      </c>
      <c r="G32" s="13">
        <f t="shared" si="0"/>
        <v>0</v>
      </c>
      <c r="H32" s="107">
        <f>非标类信贷!T38</f>
        <v>0</v>
      </c>
    </row>
    <row r="33" spans="2:11" ht="14.25" x14ac:dyDescent="0.4">
      <c r="B33" s="173"/>
      <c r="C33" s="83" t="s">
        <v>36</v>
      </c>
      <c r="D33" s="13">
        <f>非标类信贷!D39</f>
        <v>0</v>
      </c>
      <c r="E33" s="13">
        <f>非标类信贷!P39</f>
        <v>0</v>
      </c>
      <c r="F33" s="13">
        <f>非标类信贷!Q39</f>
        <v>0</v>
      </c>
      <c r="G33" s="13">
        <f t="shared" si="0"/>
        <v>0</v>
      </c>
      <c r="H33" s="107">
        <f>非标类信贷!T39</f>
        <v>0</v>
      </c>
    </row>
    <row r="34" spans="2:11" ht="14.65" thickBot="1" x14ac:dyDescent="0.45">
      <c r="B34" s="174"/>
      <c r="C34" s="84" t="s">
        <v>37</v>
      </c>
      <c r="D34" s="75">
        <f>非标类信贷!D40</f>
        <v>5.7074446834800012</v>
      </c>
      <c r="E34" s="75">
        <f>非标类信贷!P40</f>
        <v>0.13394857553332074</v>
      </c>
      <c r="F34" s="75">
        <f>非标类信贷!Q40</f>
        <v>8.5611670252200012E-2</v>
      </c>
      <c r="G34" s="75">
        <f t="shared" si="0"/>
        <v>4.8336905281120723E-2</v>
      </c>
      <c r="H34" s="108">
        <f>非标类信贷!T40</f>
        <v>-6.8710062754623342E-3</v>
      </c>
    </row>
    <row r="35" spans="2:11" ht="14.25" x14ac:dyDescent="0.4">
      <c r="B35" s="69" t="s">
        <v>213</v>
      </c>
    </row>
    <row r="36" spans="2:11" ht="14.25" x14ac:dyDescent="0.4">
      <c r="B36" s="69" t="s">
        <v>210</v>
      </c>
    </row>
    <row r="37" spans="2:11" ht="14.25" x14ac:dyDescent="0.4">
      <c r="B37" s="69" t="s">
        <v>211</v>
      </c>
    </row>
    <row r="38" spans="2:11" ht="14.25" x14ac:dyDescent="0.4">
      <c r="B38" s="69" t="s">
        <v>212</v>
      </c>
      <c r="K38" s="10"/>
    </row>
  </sheetData>
  <mergeCells count="4">
    <mergeCell ref="B10:B14"/>
    <mergeCell ref="B15:B22"/>
    <mergeCell ref="B23:B29"/>
    <mergeCell ref="B30:B3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7" sqref="B37"/>
    </sheetView>
  </sheetViews>
  <sheetFormatPr defaultRowHeight="13.9" x14ac:dyDescent="0.4"/>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K72"/>
  <sheetViews>
    <sheetView showGridLines="0" topLeftCell="N38" zoomScale="98" zoomScaleNormal="98" workbookViewId="0">
      <selection activeCell="U48" sqref="U48"/>
    </sheetView>
  </sheetViews>
  <sheetFormatPr defaultColWidth="9.1328125" defaultRowHeight="13.9" x14ac:dyDescent="0.4"/>
  <cols>
    <col min="1" max="1" width="18.73046875" style="1" customWidth="1"/>
    <col min="2" max="2" width="10.265625" style="1" bestFit="1" customWidth="1"/>
    <col min="3" max="3" width="24.59765625" style="1" customWidth="1"/>
    <col min="4" max="4" width="18.59765625" style="1" customWidth="1"/>
    <col min="5" max="5" width="12.73046875" style="1" customWidth="1"/>
    <col min="6" max="6" width="10.46484375" style="1" customWidth="1"/>
    <col min="7" max="7" width="12.3984375" style="1" customWidth="1"/>
    <col min="8" max="8" width="12.265625" style="1" bestFit="1" customWidth="1"/>
    <col min="9" max="10" width="8.265625" style="1" customWidth="1"/>
    <col min="11" max="14" width="9.265625" style="1" bestFit="1" customWidth="1"/>
    <col min="15" max="15" width="12.59765625" style="1" bestFit="1" customWidth="1"/>
    <col min="16" max="16" width="26.73046875" style="1" customWidth="1"/>
    <col min="17" max="17" width="23.86328125" style="1" customWidth="1"/>
    <col min="18" max="18" width="26.265625" style="1" bestFit="1" customWidth="1"/>
    <col min="19" max="19" width="21" style="1" customWidth="1"/>
    <col min="20" max="20" width="20.46484375" style="1" bestFit="1" customWidth="1"/>
    <col min="21" max="21" width="24.46484375" style="1" customWidth="1"/>
    <col min="22" max="22" width="18.3984375" style="1" bestFit="1" customWidth="1"/>
    <col min="23" max="23" width="25.73046875" style="1" customWidth="1"/>
    <col min="24" max="24" width="20.46484375" style="1" bestFit="1" customWidth="1"/>
    <col min="25" max="25" width="20.265625" style="1" customWidth="1"/>
    <col min="26" max="26" width="9.265625" style="1" bestFit="1" customWidth="1"/>
    <col min="27" max="27" width="14.53125" style="1" customWidth="1"/>
    <col min="28" max="36" width="10.796875" style="1" bestFit="1" customWidth="1"/>
    <col min="37" max="16384" width="9.1328125" style="1"/>
  </cols>
  <sheetData>
    <row r="1" spans="1:27" x14ac:dyDescent="0.4">
      <c r="A1" s="192" t="s">
        <v>38</v>
      </c>
      <c r="B1" s="192"/>
    </row>
    <row r="2" spans="1:27" x14ac:dyDescent="0.4">
      <c r="A2" s="192"/>
      <c r="B2" s="192"/>
    </row>
    <row r="3" spans="1:27" ht="54" x14ac:dyDescent="0.4">
      <c r="A3" s="100" t="s">
        <v>196</v>
      </c>
      <c r="B3" s="1" t="s">
        <v>69</v>
      </c>
      <c r="D3" s="97" t="s">
        <v>3</v>
      </c>
      <c r="E3" s="95" t="s">
        <v>4</v>
      </c>
    </row>
    <row r="4" spans="1:27" ht="14.25" x14ac:dyDescent="0.4">
      <c r="A4" s="1" t="s">
        <v>5</v>
      </c>
      <c r="B4" s="14">
        <v>0.2</v>
      </c>
      <c r="D4" s="1" t="s">
        <v>6</v>
      </c>
      <c r="E4" s="15">
        <v>1.4999999999999999E-2</v>
      </c>
    </row>
    <row r="5" spans="1:27" ht="14.25" x14ac:dyDescent="0.4">
      <c r="A5" s="1" t="s">
        <v>39</v>
      </c>
      <c r="B5" s="14">
        <v>0.65</v>
      </c>
      <c r="D5" s="1" t="s">
        <v>7</v>
      </c>
      <c r="E5" s="14">
        <v>0.03</v>
      </c>
    </row>
    <row r="6" spans="1:27" ht="14.25" x14ac:dyDescent="0.4">
      <c r="A6" s="1" t="s">
        <v>8</v>
      </c>
      <c r="B6" s="14">
        <v>0.4</v>
      </c>
      <c r="D6" s="1" t="s">
        <v>9</v>
      </c>
      <c r="E6" s="14">
        <v>0.3</v>
      </c>
    </row>
    <row r="7" spans="1:27" ht="14.25" x14ac:dyDescent="0.4">
      <c r="A7" s="1" t="s">
        <v>10</v>
      </c>
      <c r="B7" s="14">
        <v>0.4</v>
      </c>
      <c r="D7" s="1" t="s">
        <v>11</v>
      </c>
      <c r="E7" s="14">
        <v>0.6</v>
      </c>
    </row>
    <row r="8" spans="1:27" ht="14.25" x14ac:dyDescent="0.4">
      <c r="B8" s="2"/>
      <c r="D8" s="1" t="s">
        <v>12</v>
      </c>
      <c r="E8" s="14">
        <v>1</v>
      </c>
    </row>
    <row r="9" spans="1:27" ht="14.25" x14ac:dyDescent="0.4">
      <c r="A9" s="1" t="s">
        <v>40</v>
      </c>
      <c r="B9" s="2"/>
    </row>
    <row r="10" spans="1:27" x14ac:dyDescent="0.4">
      <c r="A10" s="199" t="s">
        <v>72</v>
      </c>
      <c r="B10" s="199"/>
      <c r="C10" s="199"/>
      <c r="D10" s="199"/>
      <c r="E10" s="199"/>
      <c r="F10" s="199"/>
      <c r="G10" s="199"/>
      <c r="H10" s="199"/>
      <c r="I10" s="199"/>
      <c r="J10" s="199"/>
      <c r="K10" s="199"/>
      <c r="L10" s="199"/>
      <c r="M10" s="199"/>
    </row>
    <row r="11" spans="1:27" x14ac:dyDescent="0.4">
      <c r="A11" s="199"/>
      <c r="B11" s="199"/>
      <c r="C11" s="199"/>
      <c r="D11" s="199"/>
      <c r="E11" s="199"/>
      <c r="F11" s="199"/>
      <c r="G11" s="199"/>
      <c r="H11" s="199"/>
      <c r="I11" s="199"/>
      <c r="J11" s="199"/>
      <c r="K11" s="199"/>
      <c r="L11" s="199"/>
      <c r="M11" s="199"/>
    </row>
    <row r="12" spans="1:27" x14ac:dyDescent="0.4">
      <c r="A12" s="199"/>
      <c r="B12" s="199"/>
      <c r="C12" s="199"/>
      <c r="D12" s="199"/>
      <c r="E12" s="199"/>
      <c r="F12" s="199"/>
      <c r="G12" s="199"/>
      <c r="H12" s="199"/>
      <c r="I12" s="199"/>
      <c r="J12" s="199"/>
      <c r="K12" s="199"/>
      <c r="L12" s="199"/>
      <c r="M12" s="199"/>
    </row>
    <row r="13" spans="1:27" ht="14.25" thickBot="1" x14ac:dyDescent="0.45">
      <c r="A13" s="199"/>
      <c r="B13" s="199"/>
      <c r="C13" s="199"/>
      <c r="D13" s="199"/>
      <c r="E13" s="199"/>
      <c r="F13" s="199"/>
      <c r="G13" s="199"/>
      <c r="H13" s="199"/>
      <c r="I13" s="199"/>
      <c r="J13" s="199"/>
      <c r="K13" s="199"/>
      <c r="L13" s="199"/>
      <c r="M13" s="199"/>
    </row>
    <row r="14" spans="1:27" ht="14.25" x14ac:dyDescent="0.4">
      <c r="A14" s="76"/>
      <c r="B14" s="72"/>
      <c r="C14" s="72"/>
      <c r="D14" s="72"/>
      <c r="E14" s="197" t="s">
        <v>68</v>
      </c>
      <c r="F14" s="198"/>
      <c r="G14" s="198"/>
      <c r="H14" s="198"/>
      <c r="I14" s="198"/>
      <c r="J14" s="96"/>
      <c r="K14" s="200" t="s">
        <v>66</v>
      </c>
      <c r="L14" s="198"/>
      <c r="M14" s="198"/>
      <c r="N14" s="198"/>
      <c r="O14" s="201"/>
      <c r="P14" s="71"/>
      <c r="Q14" s="72"/>
      <c r="R14" s="71"/>
      <c r="S14" s="72"/>
      <c r="T14" s="73"/>
      <c r="U14" s="193" t="s">
        <v>215</v>
      </c>
      <c r="V14" s="195" t="s">
        <v>220</v>
      </c>
      <c r="W14" s="132"/>
      <c r="X14" s="131"/>
    </row>
    <row r="15" spans="1:27" s="16" customFormat="1" ht="14.65" thickBot="1" x14ac:dyDescent="0.45">
      <c r="A15" s="77"/>
      <c r="B15" s="98" t="s">
        <v>41</v>
      </c>
      <c r="C15" s="78" t="s">
        <v>65</v>
      </c>
      <c r="D15" s="79" t="s">
        <v>71</v>
      </c>
      <c r="E15" s="44" t="s">
        <v>13</v>
      </c>
      <c r="F15" s="45" t="s">
        <v>7</v>
      </c>
      <c r="G15" s="45" t="s">
        <v>9</v>
      </c>
      <c r="H15" s="45" t="s">
        <v>11</v>
      </c>
      <c r="I15" s="45" t="s">
        <v>12</v>
      </c>
      <c r="J15" s="45" t="s">
        <v>70</v>
      </c>
      <c r="K15" s="88" t="s">
        <v>13</v>
      </c>
      <c r="L15" s="45" t="s">
        <v>7</v>
      </c>
      <c r="M15" s="45" t="s">
        <v>9</v>
      </c>
      <c r="N15" s="45" t="s">
        <v>11</v>
      </c>
      <c r="O15" s="80" t="s">
        <v>12</v>
      </c>
      <c r="P15" s="120" t="s">
        <v>217</v>
      </c>
      <c r="Q15" s="45" t="s">
        <v>67</v>
      </c>
      <c r="R15" s="130" t="s">
        <v>197</v>
      </c>
      <c r="S15" s="125" t="s">
        <v>216</v>
      </c>
      <c r="T15" s="126" t="s">
        <v>218</v>
      </c>
      <c r="U15" s="194"/>
      <c r="V15" s="196"/>
      <c r="W15" s="143" t="s">
        <v>219</v>
      </c>
      <c r="X15" s="139" t="s">
        <v>218</v>
      </c>
    </row>
    <row r="16" spans="1:27" ht="14.25" x14ac:dyDescent="0.4">
      <c r="A16" s="183" t="s">
        <v>5</v>
      </c>
      <c r="B16" s="71" t="s">
        <v>42</v>
      </c>
      <c r="C16" s="81">
        <f>数据底稿!B3</f>
        <v>1645.73</v>
      </c>
      <c r="D16" s="85">
        <f>C16*$B$4</f>
        <v>329.14600000000002</v>
      </c>
      <c r="E16" s="89">
        <f>$D16*K48</f>
        <v>311.14753483482411</v>
      </c>
      <c r="F16" s="82">
        <f>$D16*L48</f>
        <v>12.845656177896451</v>
      </c>
      <c r="G16" s="82">
        <f>$D16*M48</f>
        <v>2.4889070092700019</v>
      </c>
      <c r="H16" s="82">
        <f>$D16*N48</f>
        <v>2.2046232673241981</v>
      </c>
      <c r="I16" s="82">
        <f>$D16*O48</f>
        <v>0.45927871068532178</v>
      </c>
      <c r="J16" s="90">
        <f>SUM(E16:I16)-D16</f>
        <v>0</v>
      </c>
      <c r="K16" s="82">
        <f t="shared" ref="K16:K40" si="0">E16*$E$4</f>
        <v>4.6672130225223611</v>
      </c>
      <c r="L16" s="82">
        <f t="shared" ref="L16:L40" si="1">F16*$E$5</f>
        <v>0.38536968533689353</v>
      </c>
      <c r="M16" s="82">
        <f t="shared" ref="M16:M40" si="2">G16*$E$6</f>
        <v>0.74667210278100049</v>
      </c>
      <c r="N16" s="82">
        <f t="shared" ref="N16:N40" si="3">H16*$E$7</f>
        <v>1.3227739603945188</v>
      </c>
      <c r="O16" s="90">
        <f t="shared" ref="O16:O40" si="4">I16*$E$8</f>
        <v>0.45927871068532178</v>
      </c>
      <c r="P16" s="121">
        <f t="shared" ref="P16:P40" si="5">SUM(K16:O16)</f>
        <v>7.5813074817200956</v>
      </c>
      <c r="Q16" s="81">
        <f t="shared" ref="Q16:Q40" si="6">D16*$E$4</f>
        <v>4.9371900000000002</v>
      </c>
      <c r="R16" s="127">
        <f>P16-Q16</f>
        <v>2.6441174817200954</v>
      </c>
      <c r="S16" s="82">
        <f t="shared" ref="S16:S40" si="7">Q48</f>
        <v>3059.9</v>
      </c>
      <c r="T16" s="114">
        <f>-R16/S16</f>
        <v>-8.6411891948105996E-4</v>
      </c>
      <c r="U16" s="133">
        <v>0</v>
      </c>
      <c r="V16" s="134">
        <f>U16/D16</f>
        <v>0</v>
      </c>
      <c r="W16" s="144">
        <f>IF(P16-U16&lt;0,0,P16-U16)</f>
        <v>7.5813074817200956</v>
      </c>
      <c r="X16" s="134">
        <f t="shared" ref="X16:X40" si="8">-W16/S16</f>
        <v>-2.4776324329945734E-3</v>
      </c>
      <c r="AA16" s="3"/>
    </row>
    <row r="17" spans="1:37" ht="14.25" x14ac:dyDescent="0.4">
      <c r="A17" s="173"/>
      <c r="B17" s="83" t="s">
        <v>14</v>
      </c>
      <c r="C17" s="12">
        <f>数据底稿!E3</f>
        <v>556.53</v>
      </c>
      <c r="D17" s="86">
        <f>C17*$B$4</f>
        <v>111.306</v>
      </c>
      <c r="E17" s="91">
        <f t="shared" ref="E17:E40" si="9">$D17*K49</f>
        <v>106.46372100742454</v>
      </c>
      <c r="F17" s="13">
        <f t="shared" ref="F17:F40" si="10">$D17*L49</f>
        <v>3.16248409081587</v>
      </c>
      <c r="G17" s="13">
        <f t="shared" ref="G17:G21" si="11">$D17*M49</f>
        <v>0.69422184083643901</v>
      </c>
      <c r="H17" s="13">
        <f t="shared" ref="H17:H21" si="12">$D17*N49</f>
        <v>0.80134489771784978</v>
      </c>
      <c r="I17" s="13">
        <f t="shared" ref="I17:I21" si="13">$D17*O49</f>
        <v>0.18422816320529084</v>
      </c>
      <c r="J17" s="92">
        <f t="shared" ref="J17:J40" si="14">SUM(E17:I17)-D17</f>
        <v>0</v>
      </c>
      <c r="K17" s="13">
        <f t="shared" si="0"/>
        <v>1.5969558151113681</v>
      </c>
      <c r="L17" s="13">
        <f t="shared" si="1"/>
        <v>9.4874522724476093E-2</v>
      </c>
      <c r="M17" s="13">
        <f t="shared" si="2"/>
        <v>0.20826655225093169</v>
      </c>
      <c r="N17" s="13">
        <f t="shared" si="3"/>
        <v>0.48080693863070983</v>
      </c>
      <c r="O17" s="92">
        <f t="shared" si="4"/>
        <v>0.18422816320529084</v>
      </c>
      <c r="P17" s="122">
        <f t="shared" si="5"/>
        <v>2.5651319919227764</v>
      </c>
      <c r="Q17" s="12">
        <f t="shared" si="6"/>
        <v>1.6695899999999999</v>
      </c>
      <c r="R17" s="128">
        <f t="shared" ref="R17:R40" si="15">P17-Q17</f>
        <v>0.8955419919227765</v>
      </c>
      <c r="S17" s="13">
        <f t="shared" si="7"/>
        <v>2766.78</v>
      </c>
      <c r="T17" s="115">
        <f t="shared" ref="T17:T40" si="16">-R17/S17</f>
        <v>-3.2367661755642891E-4</v>
      </c>
      <c r="U17" s="136">
        <v>17.059999999999999</v>
      </c>
      <c r="V17" s="135">
        <f t="shared" ref="V17:V40" si="17">U17/D17</f>
        <v>0.15327116238118341</v>
      </c>
      <c r="W17" s="145">
        <f t="shared" ref="W17:W40" si="18">IF(P17-U17&lt;0,0,P17-U17)</f>
        <v>0</v>
      </c>
      <c r="X17" s="135">
        <f t="shared" si="8"/>
        <v>0</v>
      </c>
      <c r="Z17" s="156" t="s">
        <v>229</v>
      </c>
    </row>
    <row r="18" spans="1:37" ht="15" customHeight="1" thickBot="1" x14ac:dyDescent="0.45">
      <c r="A18" s="173"/>
      <c r="B18" s="83" t="s">
        <v>15</v>
      </c>
      <c r="C18" s="12">
        <f>数据底稿!H3</f>
        <v>550.41999999999916</v>
      </c>
      <c r="D18" s="86">
        <f>C18*$B$4</f>
        <v>110.08399999999983</v>
      </c>
      <c r="E18" s="91">
        <f t="shared" si="9"/>
        <v>103.6843919796524</v>
      </c>
      <c r="F18" s="13">
        <f t="shared" si="10"/>
        <v>3.9844335823620529</v>
      </c>
      <c r="G18" s="13">
        <f t="shared" si="11"/>
        <v>0.42160431766750306</v>
      </c>
      <c r="H18" s="13">
        <f t="shared" si="12"/>
        <v>1.7438386030316386</v>
      </c>
      <c r="I18" s="13">
        <f t="shared" si="13"/>
        <v>0.24973151728624796</v>
      </c>
      <c r="J18" s="92">
        <f t="shared" si="14"/>
        <v>0</v>
      </c>
      <c r="K18" s="13">
        <f t="shared" si="0"/>
        <v>1.555265879694786</v>
      </c>
      <c r="L18" s="13">
        <f>F18*$E$5</f>
        <v>0.11953300747086158</v>
      </c>
      <c r="M18" s="13">
        <f>G18*$E$6</f>
        <v>0.1264812953002509</v>
      </c>
      <c r="N18" s="13">
        <f>H18*$E$7</f>
        <v>1.0463031618189831</v>
      </c>
      <c r="O18" s="92">
        <f>I18*$E$8</f>
        <v>0.24973151728624796</v>
      </c>
      <c r="P18" s="122">
        <f t="shared" si="5"/>
        <v>3.0973148615711295</v>
      </c>
      <c r="Q18" s="12">
        <f t="shared" si="6"/>
        <v>1.6512599999999975</v>
      </c>
      <c r="R18" s="128">
        <f t="shared" si="15"/>
        <v>1.4460548615711319</v>
      </c>
      <c r="S18" s="13">
        <f t="shared" si="7"/>
        <v>2171.86</v>
      </c>
      <c r="T18" s="115">
        <f t="shared" si="16"/>
        <v>-6.6581403109368549E-4</v>
      </c>
      <c r="U18" s="136">
        <v>48.9</v>
      </c>
      <c r="V18" s="135">
        <f t="shared" si="17"/>
        <v>0.44420624250572355</v>
      </c>
      <c r="W18" s="145">
        <f t="shared" si="18"/>
        <v>0</v>
      </c>
      <c r="X18" s="135">
        <f t="shared" si="8"/>
        <v>0</v>
      </c>
      <c r="AA18" s="3"/>
    </row>
    <row r="19" spans="1:37" ht="14.65" thickBot="1" x14ac:dyDescent="0.45">
      <c r="A19" s="173"/>
      <c r="B19" s="83" t="s">
        <v>16</v>
      </c>
      <c r="C19" s="12">
        <f>数据底稿!K3</f>
        <v>99.77</v>
      </c>
      <c r="D19" s="86">
        <f>C19*$B$4</f>
        <v>19.954000000000001</v>
      </c>
      <c r="E19" s="91">
        <f t="shared" si="9"/>
        <v>19.125832513778668</v>
      </c>
      <c r="F19" s="13">
        <f t="shared" si="10"/>
        <v>0.55271741968581789</v>
      </c>
      <c r="G19" s="13">
        <f t="shared" si="11"/>
        <v>0.11966551334686547</v>
      </c>
      <c r="H19" s="13">
        <f t="shared" si="12"/>
        <v>5.9706296006939635E-2</v>
      </c>
      <c r="I19" s="13">
        <f t="shared" si="13"/>
        <v>9.6078257181709051E-2</v>
      </c>
      <c r="J19" s="92">
        <f t="shared" si="14"/>
        <v>0</v>
      </c>
      <c r="K19" s="13">
        <f t="shared" si="0"/>
        <v>0.28688748770667999</v>
      </c>
      <c r="L19" s="13">
        <f t="shared" si="1"/>
        <v>1.6581522590574535E-2</v>
      </c>
      <c r="M19" s="13">
        <f t="shared" si="2"/>
        <v>3.5899654004059638E-2</v>
      </c>
      <c r="N19" s="13">
        <f t="shared" si="3"/>
        <v>3.5823777604163783E-2</v>
      </c>
      <c r="O19" s="92">
        <f t="shared" si="4"/>
        <v>9.6078257181709051E-2</v>
      </c>
      <c r="P19" s="122">
        <f t="shared" si="5"/>
        <v>0.47127069908718699</v>
      </c>
      <c r="Q19" s="12">
        <f t="shared" si="6"/>
        <v>0.29931000000000002</v>
      </c>
      <c r="R19" s="128">
        <f t="shared" si="15"/>
        <v>0.17196069908718697</v>
      </c>
      <c r="S19" s="13">
        <f t="shared" si="7"/>
        <v>2073.8000000000002</v>
      </c>
      <c r="T19" s="115">
        <f t="shared" si="16"/>
        <v>-8.2920580136554612E-5</v>
      </c>
      <c r="U19" s="136">
        <v>24.59</v>
      </c>
      <c r="V19" s="135">
        <f t="shared" si="17"/>
        <v>1.2323343690488122</v>
      </c>
      <c r="W19" s="145">
        <f t="shared" si="18"/>
        <v>0</v>
      </c>
      <c r="X19" s="135">
        <f t="shared" si="8"/>
        <v>0</v>
      </c>
      <c r="Z19" s="188" t="s">
        <v>230</v>
      </c>
      <c r="AA19" s="190" t="s">
        <v>231</v>
      </c>
      <c r="AB19" s="185" t="s">
        <v>232</v>
      </c>
      <c r="AC19" s="186"/>
      <c r="AD19" s="186"/>
      <c r="AE19" s="186"/>
      <c r="AF19" s="186"/>
      <c r="AG19" s="186"/>
      <c r="AH19" s="186"/>
      <c r="AI19" s="187"/>
    </row>
    <row r="20" spans="1:37" ht="14.65" thickBot="1" x14ac:dyDescent="0.45">
      <c r="A20" s="174"/>
      <c r="B20" s="84" t="s">
        <v>17</v>
      </c>
      <c r="C20" s="74">
        <f>数据底稿!N3</f>
        <v>2787.16</v>
      </c>
      <c r="D20" s="87">
        <f>C20*$B$4</f>
        <v>557.43200000000002</v>
      </c>
      <c r="E20" s="91">
        <f t="shared" si="9"/>
        <v>532.89242379810105</v>
      </c>
      <c r="F20" s="13">
        <f t="shared" si="10"/>
        <v>16.126972988322816</v>
      </c>
      <c r="G20" s="13">
        <f t="shared" si="11"/>
        <v>2.3964943092303304</v>
      </c>
      <c r="H20" s="13">
        <f t="shared" si="12"/>
        <v>3.2307008656688208</v>
      </c>
      <c r="I20" s="13">
        <f t="shared" si="13"/>
        <v>2.7854080386769602</v>
      </c>
      <c r="J20" s="92">
        <f t="shared" si="14"/>
        <v>0</v>
      </c>
      <c r="K20" s="13">
        <f t="shared" si="0"/>
        <v>7.9933863569715156</v>
      </c>
      <c r="L20" s="13">
        <f t="shared" si="1"/>
        <v>0.48380918964968445</v>
      </c>
      <c r="M20" s="13">
        <f t="shared" si="2"/>
        <v>0.71894829276909911</v>
      </c>
      <c r="N20" s="13">
        <f t="shared" si="3"/>
        <v>1.9384205194012925</v>
      </c>
      <c r="O20" s="92">
        <f t="shared" si="4"/>
        <v>2.7854080386769602</v>
      </c>
      <c r="P20" s="123">
        <f t="shared" si="5"/>
        <v>13.919972397468552</v>
      </c>
      <c r="Q20" s="74">
        <f t="shared" si="6"/>
        <v>8.3614800000000002</v>
      </c>
      <c r="R20" s="129">
        <f t="shared" si="15"/>
        <v>5.5584923974685516</v>
      </c>
      <c r="S20" s="75">
        <f t="shared" si="7"/>
        <v>779.5</v>
      </c>
      <c r="T20" s="116">
        <f t="shared" si="16"/>
        <v>-7.1308433578814003E-3</v>
      </c>
      <c r="U20" s="137">
        <v>26.55</v>
      </c>
      <c r="V20" s="138">
        <f t="shared" si="17"/>
        <v>4.7629127857747672E-2</v>
      </c>
      <c r="W20" s="146">
        <f t="shared" si="18"/>
        <v>0</v>
      </c>
      <c r="X20" s="138">
        <f t="shared" si="8"/>
        <v>0</v>
      </c>
      <c r="Z20" s="189"/>
      <c r="AA20" s="191"/>
      <c r="AB20" s="159">
        <v>0.05</v>
      </c>
      <c r="AC20" s="160">
        <v>0.1</v>
      </c>
      <c r="AD20" s="160">
        <v>0.2</v>
      </c>
      <c r="AE20" s="160">
        <v>0.3</v>
      </c>
      <c r="AF20" s="160">
        <v>0.4</v>
      </c>
      <c r="AG20" s="160">
        <v>0.5</v>
      </c>
      <c r="AH20" s="160">
        <v>0.6</v>
      </c>
      <c r="AI20" s="161">
        <v>0.65</v>
      </c>
      <c r="AJ20" s="2"/>
      <c r="AK20" s="2"/>
    </row>
    <row r="21" spans="1:37" ht="14.25" x14ac:dyDescent="0.4">
      <c r="A21" s="183" t="s">
        <v>43</v>
      </c>
      <c r="B21" s="83" t="s">
        <v>18</v>
      </c>
      <c r="C21" s="12">
        <f>数据底稿!B29</f>
        <v>5647</v>
      </c>
      <c r="D21" s="86">
        <f>数据底稿!B21</f>
        <v>2838.41</v>
      </c>
      <c r="E21" s="89">
        <f t="shared" si="9"/>
        <v>2741.2304405896375</v>
      </c>
      <c r="F21" s="82">
        <f t="shared" si="10"/>
        <v>48.702035174062367</v>
      </c>
      <c r="G21" s="82">
        <f t="shared" si="11"/>
        <v>17.274513011244828</v>
      </c>
      <c r="H21" s="82">
        <f t="shared" si="12"/>
        <v>18.867738844578636</v>
      </c>
      <c r="I21" s="82">
        <f t="shared" si="13"/>
        <v>12.335272380476722</v>
      </c>
      <c r="J21" s="90">
        <f t="shared" si="14"/>
        <v>0</v>
      </c>
      <c r="K21" s="82">
        <f t="shared" si="0"/>
        <v>41.118456608844561</v>
      </c>
      <c r="L21" s="82">
        <f t="shared" si="1"/>
        <v>1.461061055221871</v>
      </c>
      <c r="M21" s="82">
        <f t="shared" si="2"/>
        <v>5.182353903373448</v>
      </c>
      <c r="N21" s="82">
        <f t="shared" si="3"/>
        <v>11.320643306747181</v>
      </c>
      <c r="O21" s="90">
        <f t="shared" si="4"/>
        <v>12.335272380476722</v>
      </c>
      <c r="P21" s="121">
        <f t="shared" si="5"/>
        <v>71.417787254663779</v>
      </c>
      <c r="Q21" s="81">
        <f t="shared" si="6"/>
        <v>42.576149999999998</v>
      </c>
      <c r="R21" s="127">
        <f t="shared" si="15"/>
        <v>28.84163725466378</v>
      </c>
      <c r="S21" s="82">
        <f t="shared" si="7"/>
        <v>785.18</v>
      </c>
      <c r="T21" s="106">
        <f t="shared" si="16"/>
        <v>-3.6732516435293537E-2</v>
      </c>
      <c r="U21" s="133">
        <v>43.06</v>
      </c>
      <c r="V21" s="134">
        <f t="shared" si="17"/>
        <v>1.5170465154787365E-2</v>
      </c>
      <c r="W21" s="144">
        <f t="shared" si="18"/>
        <v>28.357787254663776</v>
      </c>
      <c r="X21" s="134">
        <f t="shared" si="8"/>
        <v>-3.611628830925874E-2</v>
      </c>
      <c r="Z21" s="151" t="s">
        <v>21</v>
      </c>
      <c r="AA21" s="157">
        <f>X24</f>
        <v>-0.22603778688670315</v>
      </c>
      <c r="AB21" s="162">
        <f t="dataTable" ref="AB21:AK25" dt2D="0" dtr="1" r1="B5"/>
        <v>0</v>
      </c>
      <c r="AC21" s="114">
        <v>-4.1679411852513859E-3</v>
      </c>
      <c r="AD21" s="114">
        <v>-4.4507913130969877E-2</v>
      </c>
      <c r="AE21" s="114">
        <v>-8.4847885076688362E-2</v>
      </c>
      <c r="AF21" s="163">
        <v>-0.12518785702240687</v>
      </c>
      <c r="AG21" s="114">
        <v>-0.16552782896812535</v>
      </c>
      <c r="AH21" s="114">
        <v>-0.20586780091384385</v>
      </c>
      <c r="AI21" s="106">
        <v>-0.22603778688670315</v>
      </c>
      <c r="AJ21" s="10">
        <v>0</v>
      </c>
      <c r="AK21" s="10">
        <v>0</v>
      </c>
    </row>
    <row r="22" spans="1:37" ht="14.25" x14ac:dyDescent="0.4">
      <c r="A22" s="173"/>
      <c r="B22" s="83" t="s">
        <v>19</v>
      </c>
      <c r="C22" s="12">
        <f>数据底稿!E31+数据底稿!E33</f>
        <v>4611.45</v>
      </c>
      <c r="D22" s="86">
        <f>数据底稿!E21</f>
        <v>3028.13</v>
      </c>
      <c r="E22" s="91">
        <f t="shared" si="9"/>
        <v>2908.473069737423</v>
      </c>
      <c r="F22" s="13">
        <f t="shared" si="10"/>
        <v>69.579214284905504</v>
      </c>
      <c r="G22" s="13">
        <f t="shared" ref="G22:G40" si="19">$D22*M54</f>
        <v>27.770556789746031</v>
      </c>
      <c r="H22" s="13">
        <f t="shared" ref="H22:H40" si="20">$D22*N54</f>
        <v>17.940947405369293</v>
      </c>
      <c r="I22" s="13">
        <f t="shared" ref="I22:I40" si="21">$D22*O54</f>
        <v>4.3662117825560198</v>
      </c>
      <c r="J22" s="92">
        <f t="shared" si="14"/>
        <v>0</v>
      </c>
      <c r="K22" s="13">
        <f t="shared" si="0"/>
        <v>43.62709604606134</v>
      </c>
      <c r="L22" s="13">
        <f t="shared" si="1"/>
        <v>2.0873764285471652</v>
      </c>
      <c r="M22" s="13">
        <f t="shared" si="2"/>
        <v>8.3311670369238087</v>
      </c>
      <c r="N22" s="13">
        <f t="shared" si="3"/>
        <v>10.764568443221576</v>
      </c>
      <c r="O22" s="92">
        <f t="shared" si="4"/>
        <v>4.3662117825560198</v>
      </c>
      <c r="P22" s="122">
        <f t="shared" si="5"/>
        <v>69.176419737309914</v>
      </c>
      <c r="Q22" s="12">
        <f t="shared" si="6"/>
        <v>45.421950000000002</v>
      </c>
      <c r="R22" s="128">
        <f t="shared" si="15"/>
        <v>23.754469737309911</v>
      </c>
      <c r="S22" s="13">
        <f t="shared" si="7"/>
        <v>480.22</v>
      </c>
      <c r="T22" s="107">
        <f t="shared" si="16"/>
        <v>-4.9465806791282971E-2</v>
      </c>
      <c r="U22" s="136">
        <v>25.36</v>
      </c>
      <c r="V22" s="135">
        <f t="shared" si="17"/>
        <v>8.3748055730764534E-3</v>
      </c>
      <c r="W22" s="145">
        <f t="shared" si="18"/>
        <v>43.816419737309914</v>
      </c>
      <c r="X22" s="135">
        <f t="shared" si="8"/>
        <v>-9.1242388358064863E-2</v>
      </c>
      <c r="Z22" s="151" t="s">
        <v>23</v>
      </c>
      <c r="AA22" s="157">
        <f>X26</f>
        <v>-0.16577044911857697</v>
      </c>
      <c r="AB22" s="164">
        <v>0</v>
      </c>
      <c r="AC22" s="115">
        <v>0</v>
      </c>
      <c r="AD22" s="115">
        <v>-8.255607453342995E-3</v>
      </c>
      <c r="AE22" s="115">
        <v>-4.3258905601172758E-2</v>
      </c>
      <c r="AF22" s="165">
        <v>-7.8262203749002543E-2</v>
      </c>
      <c r="AG22" s="115">
        <v>-0.11326550189683232</v>
      </c>
      <c r="AH22" s="115">
        <v>-0.14826880004466206</v>
      </c>
      <c r="AI22" s="107">
        <v>-0.16577044911857697</v>
      </c>
      <c r="AJ22" s="10">
        <v>0</v>
      </c>
      <c r="AK22" s="10">
        <v>0</v>
      </c>
    </row>
    <row r="23" spans="1:37" ht="14.25" x14ac:dyDescent="0.4">
      <c r="A23" s="173"/>
      <c r="B23" s="83" t="s">
        <v>20</v>
      </c>
      <c r="C23" s="12">
        <f>数据底稿!H21</f>
        <v>6619.7</v>
      </c>
      <c r="D23" s="86">
        <f>C23*$B$5</f>
        <v>4302.8050000000003</v>
      </c>
      <c r="E23" s="91">
        <f t="shared" si="9"/>
        <v>4048.0266011832923</v>
      </c>
      <c r="F23" s="13">
        <f t="shared" si="10"/>
        <v>164.6756110300758</v>
      </c>
      <c r="G23" s="13">
        <f t="shared" si="19"/>
        <v>38.797197044016066</v>
      </c>
      <c r="H23" s="13">
        <f t="shared" si="20"/>
        <v>31.747812571222461</v>
      </c>
      <c r="I23" s="13">
        <f t="shared" si="21"/>
        <v>19.557778171393693</v>
      </c>
      <c r="J23" s="92">
        <f t="shared" si="14"/>
        <v>0</v>
      </c>
      <c r="K23" s="13">
        <f t="shared" si="0"/>
        <v>60.720399017749379</v>
      </c>
      <c r="L23" s="13">
        <f t="shared" si="1"/>
        <v>4.9402683309022741</v>
      </c>
      <c r="M23" s="13">
        <f t="shared" si="2"/>
        <v>11.639159113204819</v>
      </c>
      <c r="N23" s="13">
        <f t="shared" si="3"/>
        <v>19.048687542733475</v>
      </c>
      <c r="O23" s="92">
        <f t="shared" si="4"/>
        <v>19.557778171393693</v>
      </c>
      <c r="P23" s="122">
        <f t="shared" si="5"/>
        <v>115.90629217598364</v>
      </c>
      <c r="Q23" s="12">
        <f t="shared" si="6"/>
        <v>64.542074999999997</v>
      </c>
      <c r="R23" s="128">
        <f t="shared" si="15"/>
        <v>51.36421717598364</v>
      </c>
      <c r="S23" s="13">
        <f t="shared" si="7"/>
        <v>563.29999999999995</v>
      </c>
      <c r="T23" s="107">
        <f t="shared" si="16"/>
        <v>-9.1184479275667751E-2</v>
      </c>
      <c r="U23" s="136">
        <v>65.2</v>
      </c>
      <c r="V23" s="135">
        <f t="shared" si="17"/>
        <v>1.515290606941286E-2</v>
      </c>
      <c r="W23" s="145">
        <f t="shared" si="18"/>
        <v>50.706292175983634</v>
      </c>
      <c r="X23" s="135">
        <f t="shared" si="8"/>
        <v>-9.0016495963045687E-2</v>
      </c>
      <c r="Z23" s="151" t="s">
        <v>25</v>
      </c>
      <c r="AA23" s="157">
        <f>X28</f>
        <v>-0.14926056864419829</v>
      </c>
      <c r="AB23" s="164">
        <v>0</v>
      </c>
      <c r="AC23" s="115">
        <v>0</v>
      </c>
      <c r="AD23" s="115">
        <v>0</v>
      </c>
      <c r="AE23" s="115">
        <v>-1.8384597447063077E-2</v>
      </c>
      <c r="AF23" s="165">
        <v>-5.5777732074816018E-2</v>
      </c>
      <c r="AG23" s="115">
        <v>-9.3170866702568925E-2</v>
      </c>
      <c r="AH23" s="115">
        <v>-0.13056400133032181</v>
      </c>
      <c r="AI23" s="107">
        <v>-0.14926056864419829</v>
      </c>
      <c r="AJ23" s="10">
        <v>0</v>
      </c>
      <c r="AK23" s="10">
        <v>0</v>
      </c>
    </row>
    <row r="24" spans="1:37" ht="14.25" x14ac:dyDescent="0.4">
      <c r="A24" s="173"/>
      <c r="B24" s="83" t="s">
        <v>21</v>
      </c>
      <c r="C24" s="12">
        <f>数据底稿!K21</f>
        <v>9134.35</v>
      </c>
      <c r="D24" s="86">
        <f t="shared" ref="D24:D28" si="22">C24*$B$5</f>
        <v>5937.3275000000003</v>
      </c>
      <c r="E24" s="91">
        <f t="shared" si="9"/>
        <v>5618.8089075041371</v>
      </c>
      <c r="F24" s="13">
        <f t="shared" si="10"/>
        <v>218.45499730812693</v>
      </c>
      <c r="G24" s="13">
        <f t="shared" si="19"/>
        <v>36.798217103352407</v>
      </c>
      <c r="H24" s="13">
        <f t="shared" si="20"/>
        <v>44.604098964303219</v>
      </c>
      <c r="I24" s="13">
        <f t="shared" si="21"/>
        <v>18.66127912008082</v>
      </c>
      <c r="J24" s="92">
        <f t="shared" si="14"/>
        <v>0</v>
      </c>
      <c r="K24" s="13">
        <f t="shared" si="0"/>
        <v>84.282133612562049</v>
      </c>
      <c r="L24" s="13">
        <f t="shared" si="1"/>
        <v>6.5536499192438074</v>
      </c>
      <c r="M24" s="13">
        <f t="shared" si="2"/>
        <v>11.039465131005722</v>
      </c>
      <c r="N24" s="13">
        <f t="shared" si="3"/>
        <v>26.76245937858193</v>
      </c>
      <c r="O24" s="92">
        <f t="shared" si="4"/>
        <v>18.66127912008082</v>
      </c>
      <c r="P24" s="122">
        <f t="shared" si="5"/>
        <v>147.29898716147434</v>
      </c>
      <c r="Q24" s="12">
        <f t="shared" si="6"/>
        <v>89.059912499999996</v>
      </c>
      <c r="R24" s="128">
        <f t="shared" si="15"/>
        <v>58.239074661474348</v>
      </c>
      <c r="S24" s="13">
        <f t="shared" si="7"/>
        <v>561.76</v>
      </c>
      <c r="T24" s="107">
        <f t="shared" si="16"/>
        <v>-0.10367251969074756</v>
      </c>
      <c r="U24" s="136">
        <v>20.32</v>
      </c>
      <c r="V24" s="135">
        <f t="shared" si="17"/>
        <v>3.4224152196421706E-3</v>
      </c>
      <c r="W24" s="145">
        <f>IF(P24-U24&lt;0,0,P24-U24)</f>
        <v>126.97898716147435</v>
      </c>
      <c r="X24" s="135">
        <f t="shared" si="8"/>
        <v>-0.22603778688670315</v>
      </c>
      <c r="Z24" s="151" t="s">
        <v>20</v>
      </c>
      <c r="AA24" s="157">
        <f>X23</f>
        <v>-9.0016495963045687E-2</v>
      </c>
      <c r="AB24" s="164">
        <v>0</v>
      </c>
      <c r="AC24" s="115">
        <v>0</v>
      </c>
      <c r="AD24" s="115">
        <v>0</v>
      </c>
      <c r="AE24" s="115">
        <v>0</v>
      </c>
      <c r="AF24" s="165">
        <v>-1.0876884486729188E-2</v>
      </c>
      <c r="AG24" s="115">
        <v>-4.2532729077255756E-2</v>
      </c>
      <c r="AH24" s="115">
        <v>-7.4188573667782393E-2</v>
      </c>
      <c r="AI24" s="107">
        <v>-9.0016495963045687E-2</v>
      </c>
      <c r="AJ24" s="10">
        <v>0</v>
      </c>
      <c r="AK24" s="10">
        <v>0</v>
      </c>
    </row>
    <row r="25" spans="1:37" ht="14.65" thickBot="1" x14ac:dyDescent="0.45">
      <c r="A25" s="173"/>
      <c r="B25" s="83" t="s">
        <v>22</v>
      </c>
      <c r="C25" s="12">
        <f>数据底稿!T29</f>
        <v>14011.17</v>
      </c>
      <c r="D25" s="86">
        <f>数据底稿!T21</f>
        <v>9212.0499999999993</v>
      </c>
      <c r="E25" s="91">
        <f t="shared" si="9"/>
        <v>8800.4065439353253</v>
      </c>
      <c r="F25" s="13">
        <f t="shared" si="10"/>
        <v>263.97502014518534</v>
      </c>
      <c r="G25" s="13">
        <f t="shared" si="19"/>
        <v>55.623135011040993</v>
      </c>
      <c r="H25" s="13">
        <f t="shared" si="20"/>
        <v>66.074397493724447</v>
      </c>
      <c r="I25" s="13">
        <f t="shared" si="21"/>
        <v>25.970903414723818</v>
      </c>
      <c r="J25" s="92">
        <f t="shared" si="14"/>
        <v>0</v>
      </c>
      <c r="K25" s="13">
        <f t="shared" si="0"/>
        <v>132.00609815902988</v>
      </c>
      <c r="L25" s="13">
        <f t="shared" si="1"/>
        <v>7.9192506043555602</v>
      </c>
      <c r="M25" s="13">
        <f t="shared" si="2"/>
        <v>16.686940503312297</v>
      </c>
      <c r="N25" s="13">
        <f t="shared" si="3"/>
        <v>39.64463849623467</v>
      </c>
      <c r="O25" s="92">
        <f t="shared" si="4"/>
        <v>25.970903414723818</v>
      </c>
      <c r="P25" s="122">
        <f t="shared" si="5"/>
        <v>222.22783117765621</v>
      </c>
      <c r="Q25" s="12">
        <f t="shared" si="6"/>
        <v>138.18074999999999</v>
      </c>
      <c r="R25" s="128">
        <f t="shared" si="15"/>
        <v>84.047081177656224</v>
      </c>
      <c r="S25" s="13">
        <f t="shared" si="7"/>
        <v>632.02</v>
      </c>
      <c r="T25" s="107">
        <f t="shared" si="16"/>
        <v>-0.13298167965832763</v>
      </c>
      <c r="U25" s="136">
        <v>159.46</v>
      </c>
      <c r="V25" s="135">
        <f t="shared" si="17"/>
        <v>1.7309936441942893E-2</v>
      </c>
      <c r="W25" s="145">
        <f t="shared" si="18"/>
        <v>62.767831177656205</v>
      </c>
      <c r="X25" s="135">
        <f t="shared" si="8"/>
        <v>-9.931304575433722E-2</v>
      </c>
      <c r="Z25" s="152" t="s">
        <v>24</v>
      </c>
      <c r="AA25" s="158">
        <f>X27</f>
        <v>-6.7104469582727588E-2</v>
      </c>
      <c r="AB25" s="166">
        <v>0</v>
      </c>
      <c r="AC25" s="116">
        <v>0</v>
      </c>
      <c r="AD25" s="116">
        <v>0</v>
      </c>
      <c r="AE25" s="116">
        <v>0</v>
      </c>
      <c r="AF25" s="167">
        <v>-1.2495827748347267E-2</v>
      </c>
      <c r="AG25" s="116">
        <v>-3.4339284482099386E-2</v>
      </c>
      <c r="AH25" s="116">
        <v>-5.6182741215851505E-2</v>
      </c>
      <c r="AI25" s="108">
        <v>-6.7104469582727588E-2</v>
      </c>
      <c r="AJ25" s="10">
        <v>0</v>
      </c>
      <c r="AK25" s="10">
        <v>0</v>
      </c>
    </row>
    <row r="26" spans="1:37" ht="14.25" x14ac:dyDescent="0.4">
      <c r="A26" s="173"/>
      <c r="B26" s="83" t="s">
        <v>23</v>
      </c>
      <c r="C26" s="12">
        <f>数据底稿!N21</f>
        <v>4923.58</v>
      </c>
      <c r="D26" s="86">
        <f>C26*$B$5</f>
        <v>3200.3270000000002</v>
      </c>
      <c r="E26" s="91">
        <f t="shared" si="9"/>
        <v>3043.5141570476794</v>
      </c>
      <c r="F26" s="13">
        <f t="shared" si="10"/>
        <v>106.21066007601119</v>
      </c>
      <c r="G26" s="13">
        <f t="shared" si="19"/>
        <v>18.107699773676885</v>
      </c>
      <c r="H26" s="13">
        <f t="shared" si="20"/>
        <v>24.215281100848685</v>
      </c>
      <c r="I26" s="13">
        <f t="shared" si="21"/>
        <v>8.2792020017837071</v>
      </c>
      <c r="J26" s="92">
        <f t="shared" si="14"/>
        <v>0</v>
      </c>
      <c r="K26" s="13">
        <f t="shared" si="0"/>
        <v>45.652712355715188</v>
      </c>
      <c r="L26" s="13">
        <f t="shared" si="1"/>
        <v>3.1863198022803356</v>
      </c>
      <c r="M26" s="13">
        <f t="shared" si="2"/>
        <v>5.432309932103065</v>
      </c>
      <c r="N26" s="13">
        <f t="shared" si="3"/>
        <v>14.52916866050921</v>
      </c>
      <c r="O26" s="92">
        <f t="shared" si="4"/>
        <v>8.2792020017837071</v>
      </c>
      <c r="P26" s="122">
        <f t="shared" si="5"/>
        <v>77.079712752391501</v>
      </c>
      <c r="Q26" s="12">
        <f t="shared" si="6"/>
        <v>48.004905000000001</v>
      </c>
      <c r="R26" s="128">
        <f t="shared" si="15"/>
        <v>29.0748077523915</v>
      </c>
      <c r="S26" s="13">
        <f t="shared" si="7"/>
        <v>338.78</v>
      </c>
      <c r="T26" s="107">
        <f t="shared" si="16"/>
        <v>-8.5822090301645615E-2</v>
      </c>
      <c r="U26" s="136">
        <v>20.92</v>
      </c>
      <c r="V26" s="135">
        <f t="shared" si="17"/>
        <v>6.5368320174782144E-3</v>
      </c>
      <c r="W26" s="145">
        <f t="shared" si="18"/>
        <v>56.159712752391499</v>
      </c>
      <c r="X26" s="135">
        <f t="shared" si="8"/>
        <v>-0.16577044911857697</v>
      </c>
      <c r="AA26" s="3"/>
      <c r="AB26" s="10"/>
      <c r="AC26" s="10"/>
      <c r="AD26" s="10"/>
      <c r="AE26" s="10"/>
      <c r="AF26" s="155"/>
      <c r="AG26" s="10"/>
      <c r="AH26" s="10"/>
      <c r="AI26" s="10"/>
      <c r="AJ26" s="10"/>
      <c r="AK26" s="10"/>
    </row>
    <row r="27" spans="1:37" ht="14.25" x14ac:dyDescent="0.4">
      <c r="A27" s="173"/>
      <c r="B27" s="83" t="s">
        <v>24</v>
      </c>
      <c r="C27" s="12">
        <f>数据底稿!Q21</f>
        <v>1741.3199999999997</v>
      </c>
      <c r="D27" s="86">
        <f t="shared" si="22"/>
        <v>1131.8579999999999</v>
      </c>
      <c r="E27" s="91">
        <f t="shared" si="9"/>
        <v>1062.5637817178838</v>
      </c>
      <c r="F27" s="13">
        <f t="shared" si="10"/>
        <v>50.235347997370091</v>
      </c>
      <c r="G27" s="13">
        <f t="shared" si="19"/>
        <v>7.8894094580364431</v>
      </c>
      <c r="H27" s="13">
        <f t="shared" si="20"/>
        <v>7.6275239337392211</v>
      </c>
      <c r="I27" s="13">
        <f t="shared" si="21"/>
        <v>3.5419368929703485</v>
      </c>
      <c r="J27" s="92">
        <f t="shared" si="14"/>
        <v>0</v>
      </c>
      <c r="K27" s="13">
        <f t="shared" si="0"/>
        <v>15.938456725768257</v>
      </c>
      <c r="L27" s="13">
        <f t="shared" si="1"/>
        <v>1.5070604399211027</v>
      </c>
      <c r="M27" s="13">
        <f t="shared" si="2"/>
        <v>2.366822837410933</v>
      </c>
      <c r="N27" s="13">
        <f t="shared" si="3"/>
        <v>4.5765143602435323</v>
      </c>
      <c r="O27" s="92">
        <f t="shared" si="4"/>
        <v>3.5419368929703485</v>
      </c>
      <c r="P27" s="122">
        <f t="shared" si="5"/>
        <v>27.930791256314173</v>
      </c>
      <c r="Q27" s="12">
        <f t="shared" si="6"/>
        <v>16.977869999999999</v>
      </c>
      <c r="R27" s="128">
        <f t="shared" si="15"/>
        <v>10.952921256314173</v>
      </c>
      <c r="S27" s="13">
        <f t="shared" si="7"/>
        <v>196.72</v>
      </c>
      <c r="T27" s="107">
        <f t="shared" si="16"/>
        <v>-5.567772090440308E-2</v>
      </c>
      <c r="U27" s="136">
        <v>14.73</v>
      </c>
      <c r="V27" s="135">
        <f t="shared" si="17"/>
        <v>1.3013999989397965E-2</v>
      </c>
      <c r="W27" s="145">
        <f t="shared" si="18"/>
        <v>13.200791256314172</v>
      </c>
      <c r="X27" s="135">
        <f t="shared" si="8"/>
        <v>-6.7104469582727588E-2</v>
      </c>
      <c r="AA27" s="3"/>
      <c r="AB27" s="10"/>
      <c r="AC27" s="10"/>
      <c r="AD27" s="10"/>
      <c r="AE27" s="10"/>
      <c r="AF27" s="155"/>
      <c r="AG27" s="10"/>
      <c r="AH27" s="10"/>
      <c r="AI27" s="10"/>
      <c r="AJ27" s="10"/>
      <c r="AK27" s="10"/>
    </row>
    <row r="28" spans="1:37" ht="14.65" thickBot="1" x14ac:dyDescent="0.45">
      <c r="A28" s="174"/>
      <c r="B28" s="83" t="s">
        <v>25</v>
      </c>
      <c r="C28" s="12">
        <f>数据底稿!W21</f>
        <v>3659.8799999999997</v>
      </c>
      <c r="D28" s="86">
        <f t="shared" si="22"/>
        <v>2378.922</v>
      </c>
      <c r="E28" s="93">
        <f t="shared" si="9"/>
        <v>2238.5903405171362</v>
      </c>
      <c r="F28" s="75">
        <f t="shared" si="10"/>
        <v>98.4959754886372</v>
      </c>
      <c r="G28" s="75">
        <f t="shared" si="19"/>
        <v>20.532118691748821</v>
      </c>
      <c r="H28" s="75">
        <f t="shared" si="20"/>
        <v>7.4264792680838587</v>
      </c>
      <c r="I28" s="75">
        <f t="shared" si="21"/>
        <v>13.877086034394189</v>
      </c>
      <c r="J28" s="94">
        <f t="shared" si="14"/>
        <v>0</v>
      </c>
      <c r="K28" s="75">
        <f t="shared" si="0"/>
        <v>33.578855107757043</v>
      </c>
      <c r="L28" s="75">
        <f t="shared" si="1"/>
        <v>2.954879264659116</v>
      </c>
      <c r="M28" s="75">
        <f t="shared" si="2"/>
        <v>6.1596356075246463</v>
      </c>
      <c r="N28" s="75">
        <f t="shared" si="3"/>
        <v>4.4558875608503152</v>
      </c>
      <c r="O28" s="94">
        <f t="shared" si="4"/>
        <v>13.877086034394189</v>
      </c>
      <c r="P28" s="123">
        <f t="shared" si="5"/>
        <v>61.026343575185315</v>
      </c>
      <c r="Q28" s="74">
        <f t="shared" si="6"/>
        <v>35.68383</v>
      </c>
      <c r="R28" s="129">
        <f t="shared" si="15"/>
        <v>25.342513575185315</v>
      </c>
      <c r="S28" s="75">
        <f t="shared" si="7"/>
        <v>251.08</v>
      </c>
      <c r="T28" s="108">
        <f t="shared" si="16"/>
        <v>-0.10093401933720453</v>
      </c>
      <c r="U28" s="137">
        <v>23.55</v>
      </c>
      <c r="V28" s="138">
        <f t="shared" si="17"/>
        <v>9.8994418480303267E-3</v>
      </c>
      <c r="W28" s="146">
        <f t="shared" si="18"/>
        <v>37.476343575185311</v>
      </c>
      <c r="X28" s="138">
        <f t="shared" si="8"/>
        <v>-0.14926056864419829</v>
      </c>
      <c r="Y28" s="109">
        <v>42916</v>
      </c>
      <c r="Z28" s="168" t="s">
        <v>233</v>
      </c>
      <c r="AA28" s="170" t="s">
        <v>237</v>
      </c>
      <c r="AB28" s="171" t="s">
        <v>238</v>
      </c>
      <c r="AC28" s="10"/>
      <c r="AD28" s="171" t="s">
        <v>239</v>
      </c>
      <c r="AE28" s="171" t="s">
        <v>240</v>
      </c>
      <c r="AF28" s="172" t="s">
        <v>241</v>
      </c>
      <c r="AG28" s="10"/>
      <c r="AH28" s="10"/>
      <c r="AI28" s="10"/>
      <c r="AJ28" s="10"/>
      <c r="AK28" s="10"/>
    </row>
    <row r="29" spans="1:37" ht="14.25" x14ac:dyDescent="0.4">
      <c r="A29" s="184" t="s">
        <v>52</v>
      </c>
      <c r="B29" s="71" t="s">
        <v>26</v>
      </c>
      <c r="C29" s="81">
        <f>数据底稿!B41</f>
        <v>3320.5199999999995</v>
      </c>
      <c r="D29" s="85">
        <f t="shared" ref="D29:D35" si="23">C29*$B$6</f>
        <v>1328.2079999999999</v>
      </c>
      <c r="E29" s="89">
        <f t="shared" si="9"/>
        <v>1296.9322335317524</v>
      </c>
      <c r="F29" s="82">
        <f t="shared" si="10"/>
        <v>15.577620367408043</v>
      </c>
      <c r="G29" s="82">
        <f t="shared" si="19"/>
        <v>12.351017386528531</v>
      </c>
      <c r="H29" s="82">
        <f t="shared" si="20"/>
        <v>0.74847115363759698</v>
      </c>
      <c r="I29" s="82">
        <f t="shared" si="21"/>
        <v>2.5986575606732556</v>
      </c>
      <c r="J29" s="90">
        <f t="shared" si="14"/>
        <v>0</v>
      </c>
      <c r="K29" s="13">
        <f t="shared" si="0"/>
        <v>19.453983502976286</v>
      </c>
      <c r="L29" s="13">
        <f t="shared" si="1"/>
        <v>0.46732861102224127</v>
      </c>
      <c r="M29" s="13">
        <f t="shared" si="2"/>
        <v>3.7053052159585591</v>
      </c>
      <c r="N29" s="13">
        <f t="shared" si="3"/>
        <v>0.4490826921825582</v>
      </c>
      <c r="O29" s="92">
        <f t="shared" si="4"/>
        <v>2.5986575606732556</v>
      </c>
      <c r="P29" s="121">
        <f t="shared" si="5"/>
        <v>26.674357582812902</v>
      </c>
      <c r="Q29" s="81">
        <f t="shared" si="6"/>
        <v>19.923119999999997</v>
      </c>
      <c r="R29" s="127">
        <f t="shared" si="15"/>
        <v>6.7512375828129052</v>
      </c>
      <c r="S29" s="82">
        <f t="shared" si="7"/>
        <v>221.58</v>
      </c>
      <c r="T29" s="106">
        <f t="shared" si="16"/>
        <v>-3.0468623444412424E-2</v>
      </c>
      <c r="U29" s="133">
        <v>97.36</v>
      </c>
      <c r="V29" s="134">
        <f t="shared" si="17"/>
        <v>7.3301772011612643E-2</v>
      </c>
      <c r="W29" s="144">
        <f t="shared" si="18"/>
        <v>0</v>
      </c>
      <c r="X29" s="134">
        <f t="shared" si="8"/>
        <v>0</v>
      </c>
      <c r="Y29" s="1" t="str">
        <f>[1]!to_tradecode(Z29)</f>
        <v>600036</v>
      </c>
      <c r="Z29" s="168" t="s">
        <v>234</v>
      </c>
      <c r="AA29" s="169">
        <f>D21</f>
        <v>2838.41</v>
      </c>
      <c r="AB29" s="5">
        <f>U21</f>
        <v>43.06</v>
      </c>
      <c r="AC29" s="10">
        <f>AB29/AA29</f>
        <v>1.5170465154787365E-2</v>
      </c>
      <c r="AD29" s="6">
        <f>[1]!s_stmnote_bank_22n(Y29,$Y$28,1,100000000)</f>
        <v>1358.44</v>
      </c>
      <c r="AE29" s="6">
        <f>[1]!s_stmnote_bank_1n(Y29,$Y$28,1,100000000)</f>
        <v>35399.379999999997</v>
      </c>
      <c r="AF29" s="10">
        <f>AD29/AE29</f>
        <v>3.8374683398409805E-2</v>
      </c>
    </row>
    <row r="30" spans="1:37" ht="14.25" x14ac:dyDescent="0.4">
      <c r="A30" s="173"/>
      <c r="B30" s="83" t="s">
        <v>27</v>
      </c>
      <c r="C30" s="12">
        <f>数据底稿!F41</f>
        <v>2379.6147000000001</v>
      </c>
      <c r="D30" s="86">
        <f t="shared" si="23"/>
        <v>951.84588000000008</v>
      </c>
      <c r="E30" s="91">
        <f t="shared" si="9"/>
        <v>926.25253239319136</v>
      </c>
      <c r="F30" s="13">
        <f t="shared" si="10"/>
        <v>17.362825109262204</v>
      </c>
      <c r="G30" s="13">
        <f t="shared" si="19"/>
        <v>5.6083223462957328</v>
      </c>
      <c r="H30" s="13">
        <f t="shared" si="20"/>
        <v>1.9494643031434382</v>
      </c>
      <c r="I30" s="13">
        <f t="shared" si="21"/>
        <v>0.67273584810734455</v>
      </c>
      <c r="J30" s="92">
        <f t="shared" si="14"/>
        <v>0</v>
      </c>
      <c r="K30" s="13">
        <f t="shared" si="0"/>
        <v>13.89378798589787</v>
      </c>
      <c r="L30" s="13">
        <f t="shared" si="1"/>
        <v>0.5208847532778661</v>
      </c>
      <c r="M30" s="13">
        <f t="shared" si="2"/>
        <v>1.6824967038887197</v>
      </c>
      <c r="N30" s="13">
        <f t="shared" si="3"/>
        <v>1.1696785818860629</v>
      </c>
      <c r="O30" s="92">
        <f t="shared" si="4"/>
        <v>0.67273584810734455</v>
      </c>
      <c r="P30" s="122">
        <f t="shared" si="5"/>
        <v>17.939583873057863</v>
      </c>
      <c r="Q30" s="12">
        <f t="shared" si="6"/>
        <v>14.2776882</v>
      </c>
      <c r="R30" s="128">
        <f t="shared" si="15"/>
        <v>3.6618956730578631</v>
      </c>
      <c r="S30" s="13">
        <f t="shared" si="7"/>
        <v>102.09054</v>
      </c>
      <c r="T30" s="107">
        <f t="shared" si="16"/>
        <v>-3.5869098871039992E-2</v>
      </c>
      <c r="U30" s="136">
        <v>24.131910000000001</v>
      </c>
      <c r="V30" s="135">
        <f t="shared" si="17"/>
        <v>2.535274933374718E-2</v>
      </c>
      <c r="W30" s="145">
        <f t="shared" si="18"/>
        <v>0</v>
      </c>
      <c r="X30" s="135">
        <f t="shared" si="8"/>
        <v>0</v>
      </c>
      <c r="Y30" s="1" t="str">
        <f>[1]!to_tradecode(Z30)</f>
        <v>601998</v>
      </c>
      <c r="Z30" s="168" t="s">
        <v>235</v>
      </c>
      <c r="AA30" s="169">
        <f>D22</f>
        <v>3028.13</v>
      </c>
      <c r="AB30" s="5">
        <f>U22</f>
        <v>25.36</v>
      </c>
      <c r="AC30" s="10">
        <f t="shared" ref="AC30:AC31" si="24">AB30/AA30</f>
        <v>8.3748055730764534E-3</v>
      </c>
      <c r="AD30" s="6">
        <f>[1]!s_stmnote_bank_22n(Y30,$Y$28,1,100000000)</f>
        <v>781.99</v>
      </c>
      <c r="AE30" s="6">
        <f>[1]!s_stmnote_bank_1n(Y30,$Y$28,1,100000000)</f>
        <v>30910.95</v>
      </c>
      <c r="AF30" s="10">
        <f t="shared" ref="AF30:AF31" si="25">AD30/AE30</f>
        <v>2.5298154860979683E-2</v>
      </c>
    </row>
    <row r="31" spans="1:37" ht="14.25" x14ac:dyDescent="0.4">
      <c r="A31" s="173"/>
      <c r="B31" s="83" t="s">
        <v>28</v>
      </c>
      <c r="C31" s="12">
        <f>数据底稿!I41</f>
        <v>1024.1644699999999</v>
      </c>
      <c r="D31" s="86">
        <f t="shared" si="23"/>
        <v>409.66578800000002</v>
      </c>
      <c r="E31" s="91">
        <f t="shared" si="9"/>
        <v>402.78544405104185</v>
      </c>
      <c r="F31" s="13">
        <f t="shared" si="10"/>
        <v>3.1630272046342731</v>
      </c>
      <c r="G31" s="13">
        <f t="shared" si="19"/>
        <v>2.2251163095158448</v>
      </c>
      <c r="H31" s="13">
        <f t="shared" si="20"/>
        <v>1.2330391738068882</v>
      </c>
      <c r="I31" s="13">
        <f t="shared" si="21"/>
        <v>0.25916126100115361</v>
      </c>
      <c r="J31" s="92">
        <f t="shared" si="14"/>
        <v>0</v>
      </c>
      <c r="K31" s="13">
        <f t="shared" si="0"/>
        <v>6.0417816607656274</v>
      </c>
      <c r="L31" s="13">
        <f t="shared" si="1"/>
        <v>9.4890816139028195E-2</v>
      </c>
      <c r="M31" s="13">
        <f t="shared" si="2"/>
        <v>0.66753489285475343</v>
      </c>
      <c r="N31" s="13">
        <f t="shared" si="3"/>
        <v>0.7398235042841329</v>
      </c>
      <c r="O31" s="92">
        <f t="shared" si="4"/>
        <v>0.25916126100115361</v>
      </c>
      <c r="P31" s="122">
        <f t="shared" si="5"/>
        <v>7.8031921350446956</v>
      </c>
      <c r="Q31" s="12">
        <f t="shared" si="6"/>
        <v>6.1449868199999997</v>
      </c>
      <c r="R31" s="128">
        <f t="shared" si="15"/>
        <v>1.6582053150446958</v>
      </c>
      <c r="S31" s="13">
        <f t="shared" si="7"/>
        <v>95.309799999999996</v>
      </c>
      <c r="T31" s="107">
        <f t="shared" si="16"/>
        <v>-1.7398056810996307E-2</v>
      </c>
      <c r="U31" s="136">
        <v>2.4</v>
      </c>
      <c r="V31" s="135">
        <f t="shared" si="17"/>
        <v>5.8584340462425914E-3</v>
      </c>
      <c r="W31" s="145">
        <f t="shared" si="18"/>
        <v>5.4031921350446961</v>
      </c>
      <c r="X31" s="135">
        <f t="shared" si="8"/>
        <v>-5.669083488838185E-2</v>
      </c>
      <c r="Y31" s="1" t="str">
        <f>[1]!to_tradecode(Z31)</f>
        <v>601166</v>
      </c>
      <c r="Z31" s="168" t="s">
        <v>236</v>
      </c>
      <c r="AA31" s="169">
        <f>D25</f>
        <v>9212.0499999999993</v>
      </c>
      <c r="AB31" s="5">
        <f>U25</f>
        <v>159.46</v>
      </c>
      <c r="AC31" s="10">
        <f t="shared" si="24"/>
        <v>1.7309936441942893E-2</v>
      </c>
      <c r="AD31" s="6">
        <f>[1]!s_stmnote_bank_22n(Y31,$Y$28,1,100000000)</f>
        <v>814.86</v>
      </c>
      <c r="AE31" s="6">
        <f>[1]!s_stmnote_bank_1n(Y31,$Y$28,1,100000000)</f>
        <v>22846.65</v>
      </c>
      <c r="AF31" s="10">
        <f t="shared" si="25"/>
        <v>3.5666498151807814E-2</v>
      </c>
    </row>
    <row r="32" spans="1:37" ht="14.25" x14ac:dyDescent="0.4">
      <c r="A32" s="173"/>
      <c r="B32" s="83" t="s">
        <v>29</v>
      </c>
      <c r="C32" s="12">
        <f>数据底稿!U41</f>
        <v>1448.6943999999999</v>
      </c>
      <c r="D32" s="86">
        <f t="shared" si="23"/>
        <v>579.47775999999999</v>
      </c>
      <c r="E32" s="91">
        <f t="shared" si="9"/>
        <v>560.44406223739929</v>
      </c>
      <c r="F32" s="13">
        <f t="shared" si="10"/>
        <v>12.300113137357039</v>
      </c>
      <c r="G32" s="13">
        <f t="shared" si="19"/>
        <v>2.2120464439538519</v>
      </c>
      <c r="H32" s="13">
        <f t="shared" si="20"/>
        <v>3.3783359091386638</v>
      </c>
      <c r="I32" s="13">
        <f t="shared" si="21"/>
        <v>1.1432022721511292</v>
      </c>
      <c r="J32" s="92">
        <f t="shared" si="14"/>
        <v>0</v>
      </c>
      <c r="K32" s="13">
        <f t="shared" si="0"/>
        <v>8.406660933560989</v>
      </c>
      <c r="L32" s="13">
        <f t="shared" si="1"/>
        <v>0.36900339412071115</v>
      </c>
      <c r="M32" s="13">
        <f t="shared" si="2"/>
        <v>0.66361393318615558</v>
      </c>
      <c r="N32" s="13">
        <f t="shared" si="3"/>
        <v>2.027001545483198</v>
      </c>
      <c r="O32" s="92">
        <f t="shared" si="4"/>
        <v>1.1432022721511292</v>
      </c>
      <c r="P32" s="122">
        <f t="shared" si="5"/>
        <v>12.609482078502182</v>
      </c>
      <c r="Q32" s="12">
        <f t="shared" si="6"/>
        <v>8.6921663999999996</v>
      </c>
      <c r="R32" s="128">
        <f t="shared" si="15"/>
        <v>3.9173156785021828</v>
      </c>
      <c r="S32" s="13">
        <f t="shared" si="7"/>
        <v>155.91713999999999</v>
      </c>
      <c r="T32" s="107">
        <f t="shared" si="16"/>
        <v>-2.5124342830443035E-2</v>
      </c>
      <c r="U32" s="136">
        <v>67.708160000000007</v>
      </c>
      <c r="V32" s="135">
        <f t="shared" si="17"/>
        <v>0.11684341431843737</v>
      </c>
      <c r="W32" s="145">
        <f t="shared" si="18"/>
        <v>0</v>
      </c>
      <c r="X32" s="135">
        <f t="shared" si="8"/>
        <v>0</v>
      </c>
      <c r="AA32" s="3"/>
    </row>
    <row r="33" spans="1:27" ht="14.25" x14ac:dyDescent="0.4">
      <c r="A33" s="173"/>
      <c r="B33" s="83" t="s">
        <v>30</v>
      </c>
      <c r="C33" s="12">
        <f>数据底稿!O41</f>
        <v>763.49552000000006</v>
      </c>
      <c r="D33" s="86">
        <f t="shared" si="23"/>
        <v>305.39820800000001</v>
      </c>
      <c r="E33" s="91">
        <f t="shared" si="9"/>
        <v>289.80053865282713</v>
      </c>
      <c r="F33" s="13">
        <f t="shared" si="10"/>
        <v>11.137271309896736</v>
      </c>
      <c r="G33" s="13">
        <f t="shared" si="19"/>
        <v>2.089579318032305</v>
      </c>
      <c r="H33" s="13">
        <f t="shared" si="20"/>
        <v>1.3692790961648422</v>
      </c>
      <c r="I33" s="13">
        <f t="shared" si="21"/>
        <v>1.0015424076550872</v>
      </c>
      <c r="J33" s="92">
        <f t="shared" si="14"/>
        <v>2.7845761110256717E-6</v>
      </c>
      <c r="K33" s="13">
        <f t="shared" si="0"/>
        <v>4.3470080797924071</v>
      </c>
      <c r="L33" s="13">
        <f t="shared" si="1"/>
        <v>0.33411813929690204</v>
      </c>
      <c r="M33" s="13">
        <f t="shared" si="2"/>
        <v>0.62687379540969146</v>
      </c>
      <c r="N33" s="13">
        <f t="shared" si="3"/>
        <v>0.82156745769890527</v>
      </c>
      <c r="O33" s="92">
        <f t="shared" si="4"/>
        <v>1.0015424076550872</v>
      </c>
      <c r="P33" s="122">
        <f t="shared" si="5"/>
        <v>7.1311098798529935</v>
      </c>
      <c r="Q33" s="12">
        <f t="shared" si="6"/>
        <v>4.5809731200000003</v>
      </c>
      <c r="R33" s="128">
        <f t="shared" si="15"/>
        <v>2.5501367598529932</v>
      </c>
      <c r="S33" s="13">
        <f t="shared" si="7"/>
        <v>38.0413</v>
      </c>
      <c r="T33" s="107">
        <f t="shared" si="16"/>
        <v>-6.7036004549081998E-2</v>
      </c>
      <c r="U33" s="136">
        <v>14.410450000000001</v>
      </c>
      <c r="V33" s="135">
        <f t="shared" si="17"/>
        <v>4.7185771306163006E-2</v>
      </c>
      <c r="W33" s="145">
        <f t="shared" si="18"/>
        <v>0</v>
      </c>
      <c r="X33" s="135">
        <f t="shared" si="8"/>
        <v>0</v>
      </c>
      <c r="AA33" s="3"/>
    </row>
    <row r="34" spans="1:27" ht="14.25" x14ac:dyDescent="0.4">
      <c r="A34" s="173"/>
      <c r="B34" s="83" t="s">
        <v>31</v>
      </c>
      <c r="C34" s="12">
        <f>数据底稿!R41</f>
        <v>711.88409999999999</v>
      </c>
      <c r="D34" s="86">
        <f t="shared" si="23"/>
        <v>284.75364000000002</v>
      </c>
      <c r="E34" s="91">
        <f t="shared" si="9"/>
        <v>269.87220316422065</v>
      </c>
      <c r="F34" s="13">
        <f t="shared" si="10"/>
        <v>10.292821517172213</v>
      </c>
      <c r="G34" s="13">
        <f t="shared" si="19"/>
        <v>2.0882364476359423</v>
      </c>
      <c r="H34" s="13">
        <f t="shared" si="20"/>
        <v>0.40662379445660918</v>
      </c>
      <c r="I34" s="13">
        <f t="shared" si="21"/>
        <v>2.0937550765146287</v>
      </c>
      <c r="J34" s="92">
        <f t="shared" si="14"/>
        <v>0</v>
      </c>
      <c r="K34" s="13">
        <f t="shared" si="0"/>
        <v>4.0480830474633098</v>
      </c>
      <c r="L34" s="13">
        <f t="shared" si="1"/>
        <v>0.30878464551516638</v>
      </c>
      <c r="M34" s="13">
        <f t="shared" si="2"/>
        <v>0.62647093429078271</v>
      </c>
      <c r="N34" s="13">
        <f t="shared" si="3"/>
        <v>0.24397427667396548</v>
      </c>
      <c r="O34" s="92">
        <f t="shared" si="4"/>
        <v>2.0937550765146287</v>
      </c>
      <c r="P34" s="122">
        <f t="shared" si="5"/>
        <v>7.3210679804578529</v>
      </c>
      <c r="Q34" s="12">
        <f t="shared" si="6"/>
        <v>4.2713046000000006</v>
      </c>
      <c r="R34" s="128">
        <f t="shared" si="15"/>
        <v>3.0497633804578523</v>
      </c>
      <c r="S34" s="13">
        <f t="shared" si="7"/>
        <v>50.62238</v>
      </c>
      <c r="T34" s="107">
        <f t="shared" si="16"/>
        <v>-6.024535749717521E-2</v>
      </c>
      <c r="U34" s="136">
        <v>2.35</v>
      </c>
      <c r="V34" s="135">
        <f t="shared" si="17"/>
        <v>8.2527478841007973E-3</v>
      </c>
      <c r="W34" s="145">
        <f t="shared" si="18"/>
        <v>4.9710679804578533</v>
      </c>
      <c r="X34" s="135">
        <f t="shared" si="8"/>
        <v>-9.8199017518691409E-2</v>
      </c>
      <c r="AA34" s="3"/>
    </row>
    <row r="35" spans="1:27" ht="14.65" thickBot="1" x14ac:dyDescent="0.45">
      <c r="A35" s="174"/>
      <c r="B35" s="84" t="s">
        <v>32</v>
      </c>
      <c r="C35" s="74">
        <f>数据底稿!L41</f>
        <v>0</v>
      </c>
      <c r="D35" s="87">
        <f t="shared" si="23"/>
        <v>0</v>
      </c>
      <c r="E35" s="93">
        <f t="shared" si="9"/>
        <v>0</v>
      </c>
      <c r="F35" s="75">
        <f t="shared" si="10"/>
        <v>0</v>
      </c>
      <c r="G35" s="75">
        <f t="shared" si="19"/>
        <v>0</v>
      </c>
      <c r="H35" s="75">
        <f t="shared" si="20"/>
        <v>0</v>
      </c>
      <c r="I35" s="75">
        <f t="shared" si="21"/>
        <v>0</v>
      </c>
      <c r="J35" s="94">
        <f t="shared" si="14"/>
        <v>0</v>
      </c>
      <c r="K35" s="75">
        <f t="shared" si="0"/>
        <v>0</v>
      </c>
      <c r="L35" s="75">
        <f t="shared" si="1"/>
        <v>0</v>
      </c>
      <c r="M35" s="75">
        <f t="shared" si="2"/>
        <v>0</v>
      </c>
      <c r="N35" s="75">
        <f t="shared" si="3"/>
        <v>0</v>
      </c>
      <c r="O35" s="94">
        <f t="shared" si="4"/>
        <v>0</v>
      </c>
      <c r="P35" s="123">
        <f t="shared" si="5"/>
        <v>0</v>
      </c>
      <c r="Q35" s="74">
        <f t="shared" si="6"/>
        <v>0</v>
      </c>
      <c r="R35" s="129">
        <f t="shared" si="15"/>
        <v>0</v>
      </c>
      <c r="S35" s="75">
        <f t="shared" si="7"/>
        <v>123.53572</v>
      </c>
      <c r="T35" s="108">
        <f t="shared" si="16"/>
        <v>0</v>
      </c>
      <c r="U35" s="137">
        <v>24.378209999999999</v>
      </c>
      <c r="V35" s="147" t="s">
        <v>223</v>
      </c>
      <c r="W35" s="146">
        <f t="shared" si="18"/>
        <v>0</v>
      </c>
      <c r="X35" s="138">
        <f t="shared" si="8"/>
        <v>0</v>
      </c>
      <c r="AA35" s="3"/>
    </row>
    <row r="36" spans="1:27" ht="14.25" x14ac:dyDescent="0.4">
      <c r="A36" s="173" t="s">
        <v>44</v>
      </c>
      <c r="B36" s="83" t="s">
        <v>33</v>
      </c>
      <c r="C36" s="12">
        <f>数据底稿!F60</f>
        <v>78.983999999999995</v>
      </c>
      <c r="D36" s="86">
        <f>C36*$B$7</f>
        <v>31.593599999999999</v>
      </c>
      <c r="E36" s="91">
        <f t="shared" si="9"/>
        <v>30.704207645003141</v>
      </c>
      <c r="F36" s="13">
        <f t="shared" si="10"/>
        <v>0.47416554191171689</v>
      </c>
      <c r="G36" s="13">
        <f t="shared" si="19"/>
        <v>0.34522609397642162</v>
      </c>
      <c r="H36" s="13">
        <f t="shared" si="20"/>
        <v>6.4940874542845403E-2</v>
      </c>
      <c r="I36" s="13">
        <f t="shared" si="21"/>
        <v>5.0598445658678924E-3</v>
      </c>
      <c r="J36" s="92">
        <f t="shared" si="14"/>
        <v>0</v>
      </c>
      <c r="K36" s="13">
        <f t="shared" si="0"/>
        <v>0.46056311467504707</v>
      </c>
      <c r="L36" s="13">
        <f t="shared" si="1"/>
        <v>1.4224966257351507E-2</v>
      </c>
      <c r="M36" s="13">
        <f t="shared" si="2"/>
        <v>0.10356782819292648</v>
      </c>
      <c r="N36" s="13">
        <f t="shared" si="3"/>
        <v>3.8964524725707238E-2</v>
      </c>
      <c r="O36" s="92">
        <f t="shared" si="4"/>
        <v>5.0598445658678924E-3</v>
      </c>
      <c r="P36" s="121">
        <f t="shared" si="5"/>
        <v>0.62238027841690013</v>
      </c>
      <c r="Q36" s="81">
        <f t="shared" si="6"/>
        <v>0.47390399999999994</v>
      </c>
      <c r="R36" s="128">
        <f t="shared" si="15"/>
        <v>0.1484762784169002</v>
      </c>
      <c r="S36" s="13">
        <f t="shared" si="7"/>
        <v>10.436400000000001</v>
      </c>
      <c r="T36" s="115">
        <f t="shared" si="16"/>
        <v>-1.4226771532032136E-2</v>
      </c>
      <c r="U36" s="133">
        <v>1.20529</v>
      </c>
      <c r="V36" s="134">
        <f t="shared" si="17"/>
        <v>3.8149815152435936E-2</v>
      </c>
      <c r="W36" s="144">
        <f t="shared" si="18"/>
        <v>0</v>
      </c>
      <c r="X36" s="134">
        <f t="shared" si="8"/>
        <v>0</v>
      </c>
      <c r="AA36" s="3"/>
    </row>
    <row r="37" spans="1:27" ht="14.25" x14ac:dyDescent="0.4">
      <c r="A37" s="173"/>
      <c r="B37" s="83" t="s">
        <v>34</v>
      </c>
      <c r="C37" s="12">
        <f>数据底稿!I60</f>
        <v>142.75730999999999</v>
      </c>
      <c r="D37" s="86">
        <f>C37*$B$7</f>
        <v>57.102924000000002</v>
      </c>
      <c r="E37" s="91">
        <f t="shared" si="9"/>
        <v>54.573158385762483</v>
      </c>
      <c r="F37" s="13">
        <f t="shared" si="10"/>
        <v>1.791761778800858</v>
      </c>
      <c r="G37" s="13">
        <f t="shared" si="19"/>
        <v>0.71815101318023589</v>
      </c>
      <c r="H37" s="13">
        <f t="shared" si="20"/>
        <v>1.5486538464777417E-2</v>
      </c>
      <c r="I37" s="13">
        <f t="shared" si="21"/>
        <v>4.3662837916419424E-3</v>
      </c>
      <c r="J37" s="92">
        <f t="shared" si="14"/>
        <v>0</v>
      </c>
      <c r="K37" s="13">
        <f t="shared" si="0"/>
        <v>0.81859737578643721</v>
      </c>
      <c r="L37" s="13">
        <f t="shared" si="1"/>
        <v>5.3752853364025736E-2</v>
      </c>
      <c r="M37" s="13">
        <f t="shared" si="2"/>
        <v>0.21544530395407077</v>
      </c>
      <c r="N37" s="13">
        <f t="shared" si="3"/>
        <v>9.2919230788664504E-3</v>
      </c>
      <c r="O37" s="92">
        <f t="shared" si="4"/>
        <v>4.3662837916419424E-3</v>
      </c>
      <c r="P37" s="122">
        <f t="shared" si="5"/>
        <v>1.1014537399750419</v>
      </c>
      <c r="Q37" s="12">
        <f t="shared" si="6"/>
        <v>0.85654386000000005</v>
      </c>
      <c r="R37" s="128">
        <f t="shared" si="15"/>
        <v>0.24490987997504188</v>
      </c>
      <c r="S37" s="13">
        <f t="shared" si="7"/>
        <v>11.419079999999999</v>
      </c>
      <c r="T37" s="115">
        <f t="shared" si="16"/>
        <v>-2.1447426585595501E-2</v>
      </c>
      <c r="U37" s="136">
        <v>2.4623499999999998</v>
      </c>
      <c r="V37" s="135">
        <f t="shared" si="17"/>
        <v>4.312125942972727E-2</v>
      </c>
      <c r="W37" s="145">
        <f t="shared" si="18"/>
        <v>0</v>
      </c>
      <c r="X37" s="135">
        <f t="shared" si="8"/>
        <v>0</v>
      </c>
      <c r="AA37" s="3"/>
    </row>
    <row r="38" spans="1:27" ht="14.25" x14ac:dyDescent="0.4">
      <c r="A38" s="173"/>
      <c r="B38" s="83" t="s">
        <v>35</v>
      </c>
      <c r="C38" s="12">
        <f>数据底稿!B60</f>
        <v>0</v>
      </c>
      <c r="D38" s="86">
        <f>C38*$B$7</f>
        <v>0</v>
      </c>
      <c r="E38" s="91">
        <f t="shared" si="9"/>
        <v>0</v>
      </c>
      <c r="F38" s="13">
        <f t="shared" si="10"/>
        <v>0</v>
      </c>
      <c r="G38" s="13">
        <f t="shared" si="19"/>
        <v>0</v>
      </c>
      <c r="H38" s="13">
        <f t="shared" si="20"/>
        <v>0</v>
      </c>
      <c r="I38" s="13">
        <f t="shared" si="21"/>
        <v>0</v>
      </c>
      <c r="J38" s="92">
        <f t="shared" si="14"/>
        <v>0</v>
      </c>
      <c r="K38" s="13">
        <f t="shared" si="0"/>
        <v>0</v>
      </c>
      <c r="L38" s="13">
        <f t="shared" si="1"/>
        <v>0</v>
      </c>
      <c r="M38" s="13">
        <f t="shared" si="2"/>
        <v>0</v>
      </c>
      <c r="N38" s="13">
        <f t="shared" si="3"/>
        <v>0</v>
      </c>
      <c r="O38" s="92">
        <f t="shared" si="4"/>
        <v>0</v>
      </c>
      <c r="P38" s="122">
        <f t="shared" si="5"/>
        <v>0</v>
      </c>
      <c r="Q38" s="12">
        <f t="shared" si="6"/>
        <v>0</v>
      </c>
      <c r="R38" s="128">
        <f t="shared" si="15"/>
        <v>0</v>
      </c>
      <c r="S38" s="13">
        <f t="shared" si="7"/>
        <v>7.0487399999999996</v>
      </c>
      <c r="T38" s="115">
        <f t="shared" si="16"/>
        <v>0</v>
      </c>
      <c r="U38" s="136">
        <v>0</v>
      </c>
      <c r="V38" s="140" t="s">
        <v>223</v>
      </c>
      <c r="W38" s="145">
        <f t="shared" si="18"/>
        <v>0</v>
      </c>
      <c r="X38" s="135">
        <f t="shared" si="8"/>
        <v>0</v>
      </c>
    </row>
    <row r="39" spans="1:27" ht="14.25" x14ac:dyDescent="0.4">
      <c r="A39" s="173"/>
      <c r="B39" s="83" t="s">
        <v>36</v>
      </c>
      <c r="C39" s="12">
        <f>数据底稿!M60</f>
        <v>0</v>
      </c>
      <c r="D39" s="86">
        <f>C39*$B$7</f>
        <v>0</v>
      </c>
      <c r="E39" s="91">
        <f t="shared" si="9"/>
        <v>0</v>
      </c>
      <c r="F39" s="13">
        <f t="shared" si="10"/>
        <v>0</v>
      </c>
      <c r="G39" s="13">
        <f t="shared" si="19"/>
        <v>0</v>
      </c>
      <c r="H39" s="13">
        <f t="shared" si="20"/>
        <v>0</v>
      </c>
      <c r="I39" s="13">
        <f t="shared" si="21"/>
        <v>0</v>
      </c>
      <c r="J39" s="92">
        <f t="shared" si="14"/>
        <v>0</v>
      </c>
      <c r="K39" s="13">
        <f t="shared" si="0"/>
        <v>0</v>
      </c>
      <c r="L39" s="13">
        <f t="shared" si="1"/>
        <v>0</v>
      </c>
      <c r="M39" s="13">
        <f t="shared" si="2"/>
        <v>0</v>
      </c>
      <c r="N39" s="13">
        <f t="shared" si="3"/>
        <v>0</v>
      </c>
      <c r="O39" s="92">
        <f t="shared" si="4"/>
        <v>0</v>
      </c>
      <c r="P39" s="122">
        <f t="shared" si="5"/>
        <v>0</v>
      </c>
      <c r="Q39" s="12">
        <f t="shared" si="6"/>
        <v>0</v>
      </c>
      <c r="R39" s="128">
        <f t="shared" si="15"/>
        <v>0</v>
      </c>
      <c r="S39" s="13">
        <f t="shared" si="7"/>
        <v>8.7552599999999998</v>
      </c>
      <c r="T39" s="115">
        <f t="shared" si="16"/>
        <v>0</v>
      </c>
      <c r="U39" s="136">
        <v>0</v>
      </c>
      <c r="V39" s="140" t="s">
        <v>223</v>
      </c>
      <c r="W39" s="145">
        <f t="shared" si="18"/>
        <v>0</v>
      </c>
      <c r="X39" s="135">
        <f t="shared" si="8"/>
        <v>0</v>
      </c>
    </row>
    <row r="40" spans="1:27" ht="14.65" thickBot="1" x14ac:dyDescent="0.45">
      <c r="A40" s="174"/>
      <c r="B40" s="84" t="s">
        <v>37</v>
      </c>
      <c r="C40" s="74">
        <f>数据底稿!P60</f>
        <v>14.268611708700002</v>
      </c>
      <c r="D40" s="87">
        <f>C40*$B$7</f>
        <v>5.7074446834800012</v>
      </c>
      <c r="E40" s="93">
        <f t="shared" si="9"/>
        <v>5.2023486770478318</v>
      </c>
      <c r="F40" s="75">
        <f t="shared" si="10"/>
        <v>0.39270772426660594</v>
      </c>
      <c r="G40" s="75">
        <f t="shared" si="19"/>
        <v>8.2966648878016067E-2</v>
      </c>
      <c r="H40" s="75">
        <f t="shared" si="20"/>
        <v>2.5448785753368112E-2</v>
      </c>
      <c r="I40" s="75">
        <f t="shared" si="21"/>
        <v>3.9728475341794106E-3</v>
      </c>
      <c r="J40" s="94">
        <f t="shared" si="14"/>
        <v>0</v>
      </c>
      <c r="K40" s="75">
        <f t="shared" si="0"/>
        <v>7.8035230155717478E-2</v>
      </c>
      <c r="L40" s="75">
        <f t="shared" si="1"/>
        <v>1.1781231727998177E-2</v>
      </c>
      <c r="M40" s="75">
        <f t="shared" si="2"/>
        <v>2.4889994663404819E-2</v>
      </c>
      <c r="N40" s="75">
        <f t="shared" si="3"/>
        <v>1.5269271452020866E-2</v>
      </c>
      <c r="O40" s="94">
        <f t="shared" si="4"/>
        <v>3.9728475341794106E-3</v>
      </c>
      <c r="P40" s="123">
        <f t="shared" si="5"/>
        <v>0.13394857553332074</v>
      </c>
      <c r="Q40" s="74">
        <f t="shared" si="6"/>
        <v>8.5611670252200012E-2</v>
      </c>
      <c r="R40" s="129">
        <f t="shared" si="15"/>
        <v>4.8336905281120723E-2</v>
      </c>
      <c r="S40" s="75">
        <f t="shared" si="7"/>
        <v>7.0349092029999998</v>
      </c>
      <c r="T40" s="116">
        <f t="shared" si="16"/>
        <v>-6.8710062754623342E-3</v>
      </c>
      <c r="U40" s="137">
        <v>0.94874999999999998</v>
      </c>
      <c r="V40" s="138">
        <f t="shared" si="17"/>
        <v>0.16623025760479529</v>
      </c>
      <c r="W40" s="146">
        <f t="shared" si="18"/>
        <v>0</v>
      </c>
      <c r="X40" s="138">
        <f t="shared" si="8"/>
        <v>0</v>
      </c>
    </row>
    <row r="41" spans="1:27" ht="14.25" x14ac:dyDescent="0.4">
      <c r="A41" s="66" t="s">
        <v>63</v>
      </c>
    </row>
    <row r="42" spans="1:27" ht="14.25" x14ac:dyDescent="0.4">
      <c r="A42" s="69" t="s">
        <v>64</v>
      </c>
      <c r="R42" s="7"/>
    </row>
    <row r="45" spans="1:27" ht="14.25" x14ac:dyDescent="0.4">
      <c r="A45" s="8" t="s">
        <v>45</v>
      </c>
    </row>
    <row r="46" spans="1:27" ht="14.25" x14ac:dyDescent="0.4">
      <c r="A46" s="70">
        <v>42916</v>
      </c>
      <c r="B46" s="1" t="s">
        <v>46</v>
      </c>
      <c r="K46" s="1" t="s">
        <v>47</v>
      </c>
      <c r="U46" s="3"/>
      <c r="V46" s="3"/>
      <c r="W46" s="3"/>
      <c r="X46" s="3"/>
    </row>
    <row r="47" spans="1:27" ht="14.25" x14ac:dyDescent="0.4">
      <c r="A47" s="1" t="s">
        <v>48</v>
      </c>
      <c r="B47" s="68"/>
      <c r="C47" s="68" t="s">
        <v>13</v>
      </c>
      <c r="D47" s="68" t="s">
        <v>7</v>
      </c>
      <c r="E47" s="68" t="s">
        <v>9</v>
      </c>
      <c r="F47" s="68" t="s">
        <v>11</v>
      </c>
      <c r="G47" s="68" t="s">
        <v>12</v>
      </c>
      <c r="H47" s="68" t="s">
        <v>49</v>
      </c>
      <c r="I47" s="68" t="s">
        <v>61</v>
      </c>
      <c r="K47" s="68" t="s">
        <v>50</v>
      </c>
      <c r="L47" s="68" t="s">
        <v>7</v>
      </c>
      <c r="M47" s="68" t="s">
        <v>9</v>
      </c>
      <c r="N47" s="68" t="s">
        <v>11</v>
      </c>
      <c r="O47" s="68" t="s">
        <v>12</v>
      </c>
      <c r="P47" s="68" t="s">
        <v>62</v>
      </c>
      <c r="Q47" s="124" t="s">
        <v>216</v>
      </c>
      <c r="R47" s="124" t="s">
        <v>242</v>
      </c>
      <c r="S47" s="124" t="s">
        <v>243</v>
      </c>
      <c r="T47" s="124" t="s">
        <v>244</v>
      </c>
      <c r="X47" s="6"/>
    </row>
    <row r="48" spans="1:27" ht="14.25" x14ac:dyDescent="0.4">
      <c r="A48" s="1" t="str">
        <f>[1]!to_tradecode(B48)</f>
        <v>601398</v>
      </c>
      <c r="B48" s="1" t="s">
        <v>42</v>
      </c>
      <c r="C48" s="9">
        <f>[1]!s_stmnote_bank(A48,"31",$A$46,100000000)</f>
        <v>131076.89000000001</v>
      </c>
      <c r="D48" s="9">
        <f>[1]!s_stmnote_bank(A48,"34",$A$46,100000000)</f>
        <v>5411.48</v>
      </c>
      <c r="E48" s="9">
        <f>[1]!s_stmnote_bank(A48,"37",$A$46,100000000)</f>
        <v>1048.5</v>
      </c>
      <c r="F48" s="9">
        <f>[1]!s_stmnote_bank(A48,"40",$A$46,100000000)</f>
        <v>928.74</v>
      </c>
      <c r="G48" s="9">
        <f>[1]!s_stmnote_bank(A48,"43",$A$46,100000000)</f>
        <v>193.48</v>
      </c>
      <c r="H48" s="9">
        <f>[1]!s_stmnote_bank_1n(A48,$A$46,1,100000000)</f>
        <v>138659.09</v>
      </c>
      <c r="I48" s="9">
        <f>H48-SUM(C48:G48)</f>
        <v>0</v>
      </c>
      <c r="J48" s="9"/>
      <c r="K48" s="10">
        <f t="shared" ref="K48:K72" si="26">C48/$H48</f>
        <v>0.94531768526679372</v>
      </c>
      <c r="L48" s="10">
        <f t="shared" ref="L48:L72" si="27">D48/$H48</f>
        <v>3.9027228579100008E-2</v>
      </c>
      <c r="M48" s="10">
        <f t="shared" ref="M48:M72" si="28">E48/$H48</f>
        <v>7.5617112444629486E-3</v>
      </c>
      <c r="N48" s="10">
        <f t="shared" ref="N48:N72" si="29">F48/$H48</f>
        <v>6.6980102061826603E-3</v>
      </c>
      <c r="O48" s="10">
        <f t="shared" ref="O48:O72" si="30">G48/$H48</f>
        <v>1.3953647034608404E-3</v>
      </c>
      <c r="P48" s="3">
        <f t="shared" ref="P48:P72" si="31">SUM(K48:O48)</f>
        <v>1.0000000000000002</v>
      </c>
      <c r="Q48" s="9">
        <f>[1]!s_stm07_is(A48,"W30028333",A$46,1,100000000)*2</f>
        <v>3059.9</v>
      </c>
      <c r="R48" s="4">
        <f>[1]!s_stmnote_bank_22n(A48,$A$46,1,100000000)</f>
        <v>3165.13</v>
      </c>
      <c r="S48" s="4">
        <f>[1]!s_stmnote_bank_1n(A48,$A$46,1,100000000)</f>
        <v>138659.09</v>
      </c>
      <c r="T48" s="10">
        <f>R48/S48</f>
        <v>2.2826703968704828E-2</v>
      </c>
    </row>
    <row r="49" spans="1:20" ht="14.25" x14ac:dyDescent="0.4">
      <c r="A49" s="1" t="str">
        <f>[1]!to_tradecode(B49)</f>
        <v>601939</v>
      </c>
      <c r="B49" s="1" t="s">
        <v>14</v>
      </c>
      <c r="C49" s="9">
        <f>[1]!s_stmnote_bank(A49,"31",$A$46,100000000)</f>
        <v>119629.13</v>
      </c>
      <c r="D49" s="9">
        <f>[1]!s_stmnote_bank(A49,"34",$A$46,100000000)</f>
        <v>3553.56</v>
      </c>
      <c r="E49" s="9">
        <f>[1]!s_stmnote_bank(A49,"37",$A$46,100000000)</f>
        <v>780.07</v>
      </c>
      <c r="F49" s="9">
        <f>[1]!s_stmnote_bank(A49,"40",$A$46,100000000)</f>
        <v>900.44</v>
      </c>
      <c r="G49" s="9">
        <f>[1]!s_stmnote_bank(A49,"43",$A$46,100000000)</f>
        <v>207.01</v>
      </c>
      <c r="H49" s="9">
        <f>[1]!s_stmnote_bank_1n(A49,$A$46,1,100000000)</f>
        <v>125070.21</v>
      </c>
      <c r="I49" s="9">
        <f t="shared" ref="I49:I72" si="32">H49-SUM(C49:G49)</f>
        <v>0</v>
      </c>
      <c r="J49" s="9"/>
      <c r="K49" s="10">
        <f t="shared" si="26"/>
        <v>0.95649579544161634</v>
      </c>
      <c r="L49" s="10">
        <f t="shared" si="27"/>
        <v>2.8412521255061454E-2</v>
      </c>
      <c r="M49" s="10">
        <f t="shared" si="28"/>
        <v>6.2370567699534529E-3</v>
      </c>
      <c r="N49" s="10">
        <f t="shared" si="29"/>
        <v>7.1994761982089898E-3</v>
      </c>
      <c r="O49" s="10">
        <f t="shared" si="30"/>
        <v>1.6551503351597474E-3</v>
      </c>
      <c r="P49" s="3">
        <f t="shared" si="31"/>
        <v>1</v>
      </c>
      <c r="Q49" s="9">
        <f>[1]!s_stm07_is(A49,"W30028333",A$46,1,100000000)*2</f>
        <v>2766.78</v>
      </c>
      <c r="R49" s="4">
        <f>[1]!s_stmnote_bank_22n(A49,$A$46,1,100000000)</f>
        <v>3022.91</v>
      </c>
      <c r="S49" s="4">
        <f>[1]!s_stmnote_bank_1n(A49,$A$46,1,100000000)</f>
        <v>125070.21</v>
      </c>
      <c r="T49" s="10">
        <f t="shared" ref="T49:T72" si="33">R49/S49</f>
        <v>2.4169704360454819E-2</v>
      </c>
    </row>
    <row r="50" spans="1:20" ht="14.25" x14ac:dyDescent="0.4">
      <c r="A50" s="1" t="str">
        <f>[1]!to_tradecode(B50)</f>
        <v>601288</v>
      </c>
      <c r="B50" s="1" t="s">
        <v>15</v>
      </c>
      <c r="C50" s="9">
        <f>[1]!s_stmnote_bank(A50,"31",$A$46,100000000)</f>
        <v>98066.33</v>
      </c>
      <c r="D50" s="9">
        <f>[1]!s_stmnote_bank(A50,"34",$A$46,100000000)</f>
        <v>3768.54</v>
      </c>
      <c r="E50" s="9">
        <f>[1]!s_stmnote_bank(A50,"37",$A$46,100000000)</f>
        <v>398.76</v>
      </c>
      <c r="F50" s="9">
        <f>[1]!s_stmnote_bank(A50,"40",$A$46,100000000)</f>
        <v>1649.35</v>
      </c>
      <c r="G50" s="9">
        <f>[1]!s_stmnote_bank(A50,"43",$A$46,100000000)</f>
        <v>236.2</v>
      </c>
      <c r="H50" s="9">
        <f>[1]!s_stmnote_bank_1n(A50,$A$46,1,100000000)</f>
        <v>104119.18</v>
      </c>
      <c r="I50" s="9">
        <f t="shared" si="32"/>
        <v>0</v>
      </c>
      <c r="J50" s="9"/>
      <c r="K50" s="10">
        <f t="shared" si="26"/>
        <v>0.94186613840024491</v>
      </c>
      <c r="L50" s="10">
        <f t="shared" si="27"/>
        <v>3.6194484051833682E-2</v>
      </c>
      <c r="M50" s="10">
        <f t="shared" si="28"/>
        <v>3.8298419176947033E-3</v>
      </c>
      <c r="N50" s="10">
        <f t="shared" si="29"/>
        <v>1.5840981459900087E-2</v>
      </c>
      <c r="O50" s="10">
        <f t="shared" si="30"/>
        <v>2.2685541703267352E-3</v>
      </c>
      <c r="P50" s="3">
        <f t="shared" si="31"/>
        <v>1.0000000000000002</v>
      </c>
      <c r="Q50" s="9">
        <f>[1]!s_stm07_is(A50,"W30028333",A$46,1,100000000)*2</f>
        <v>2171.86</v>
      </c>
      <c r="R50" s="4">
        <f>[1]!s_stmnote_bank_22n(A50,$A$46,1,100000000)</f>
        <v>4152.79</v>
      </c>
      <c r="S50" s="4">
        <f>[1]!s_stmnote_bank_1n(A50,$A$46,1,100000000)</f>
        <v>104119.18</v>
      </c>
      <c r="T50" s="10">
        <f t="shared" si="33"/>
        <v>3.9884966439420674E-2</v>
      </c>
    </row>
    <row r="51" spans="1:20" ht="14.25" x14ac:dyDescent="0.4">
      <c r="A51" s="1" t="str">
        <f>[1]!to_tradecode(B51)</f>
        <v>601988</v>
      </c>
      <c r="B51" s="1" t="s">
        <v>16</v>
      </c>
      <c r="C51" s="9">
        <f>[1]!s_stmnote_bank(A51,"31",$A$46,100000000)</f>
        <v>102086.58</v>
      </c>
      <c r="D51" s="9">
        <f>[1]!s_stmnote_bank(A51,"34",$A$46,100000000)</f>
        <v>2950.2</v>
      </c>
      <c r="E51" s="9">
        <f>[1]!s_stmnote_bank(A51,"37",$A$46,100000000)</f>
        <v>638.73</v>
      </c>
      <c r="F51" s="9">
        <f>[1]!s_stmnote_bank(A51,"40",$A$46,100000000)</f>
        <v>318.69</v>
      </c>
      <c r="G51" s="9">
        <f>[1]!s_stmnote_bank(A51,"43",$A$46,100000000)</f>
        <v>512.83000000000004</v>
      </c>
      <c r="H51" s="9">
        <f>[1]!s_stmnote_bank_1n(A51,$A$46,1,100000000)</f>
        <v>106507.03</v>
      </c>
      <c r="I51" s="9">
        <f t="shared" si="32"/>
        <v>0</v>
      </c>
      <c r="J51" s="9"/>
      <c r="K51" s="10">
        <f t="shared" si="26"/>
        <v>0.95849616687274075</v>
      </c>
      <c r="L51" s="10">
        <f t="shared" si="27"/>
        <v>2.7699580018333062E-2</v>
      </c>
      <c r="M51" s="10">
        <f t="shared" si="28"/>
        <v>5.9970689258727807E-3</v>
      </c>
      <c r="N51" s="10">
        <f t="shared" si="29"/>
        <v>2.9921968531091327E-3</v>
      </c>
      <c r="O51" s="10">
        <f t="shared" si="30"/>
        <v>4.8149873299443242E-3</v>
      </c>
      <c r="P51" s="3">
        <f t="shared" si="31"/>
        <v>1</v>
      </c>
      <c r="Q51" s="9">
        <f>[1]!s_stm07_is(A51,"W30028333",A$46,1,100000000)*2</f>
        <v>2073.8000000000002</v>
      </c>
      <c r="R51" s="4">
        <f>[1]!s_stmnote_bank_22n(A51,$A$46,1,100000000)</f>
        <v>2241.5500000000002</v>
      </c>
      <c r="S51" s="4">
        <f>[1]!s_stmnote_bank_1n(A51,$A$46,1,100000000)</f>
        <v>106507.03</v>
      </c>
      <c r="T51" s="10">
        <f t="shared" si="33"/>
        <v>2.1046028604872376E-2</v>
      </c>
    </row>
    <row r="52" spans="1:20" ht="14.25" x14ac:dyDescent="0.4">
      <c r="A52" s="1" t="str">
        <f>[1]!to_tradecode(B52)</f>
        <v>601328</v>
      </c>
      <c r="B52" s="1" t="s">
        <v>17</v>
      </c>
      <c r="C52" s="9">
        <f>[1]!s_stmnote_bank(A52,"31",$A$46,100000000)</f>
        <v>41777.620000000003</v>
      </c>
      <c r="D52" s="9">
        <f>[1]!s_stmnote_bank(A52,"34",$A$46,100000000)</f>
        <v>1264.32</v>
      </c>
      <c r="E52" s="9">
        <f>[1]!s_stmnote_bank(A52,"37",$A$46,100000000)</f>
        <v>187.88</v>
      </c>
      <c r="F52" s="9">
        <f>[1]!s_stmnote_bank(A52,"40",$A$46,100000000)</f>
        <v>253.28</v>
      </c>
      <c r="G52" s="9">
        <f>[1]!s_stmnote_bank(A52,"43",$A$46,100000000)</f>
        <v>218.37</v>
      </c>
      <c r="H52" s="9">
        <f>[1]!s_stmnote_bank_1n(A52,$A$46,1,100000000)</f>
        <v>43701.47</v>
      </c>
      <c r="I52" s="9">
        <f t="shared" si="32"/>
        <v>0</v>
      </c>
      <c r="J52" s="9"/>
      <c r="K52" s="10">
        <f t="shared" si="26"/>
        <v>0.95597745339001183</v>
      </c>
      <c r="L52" s="10">
        <f t="shared" si="27"/>
        <v>2.8930834592062919E-2</v>
      </c>
      <c r="M52" s="10">
        <f t="shared" si="28"/>
        <v>4.2991688837926961E-3</v>
      </c>
      <c r="N52" s="10">
        <f t="shared" si="29"/>
        <v>5.795686049004759E-3</v>
      </c>
      <c r="O52" s="10">
        <f t="shared" si="30"/>
        <v>4.9968570851278002E-3</v>
      </c>
      <c r="P52" s="3">
        <f t="shared" si="31"/>
        <v>0.99999999999999989</v>
      </c>
      <c r="Q52" s="9">
        <f>[1]!s_stm07_is(A52,"W30028333",A$46,1,100000000)*2</f>
        <v>779.5</v>
      </c>
      <c r="R52" s="4">
        <f>[1]!s_stmnote_bank_22n(A52,$A$46,1,100000000)</f>
        <v>996.05</v>
      </c>
      <c r="S52" s="4">
        <f>[1]!s_stmnote_bank_1n(A52,$A$46,1,100000000)</f>
        <v>43701.47</v>
      </c>
      <c r="T52" s="10">
        <f t="shared" si="33"/>
        <v>2.2792139486383409E-2</v>
      </c>
    </row>
    <row r="53" spans="1:20" ht="14.25" x14ac:dyDescent="0.4">
      <c r="A53" s="1" t="str">
        <f>[1]!to_tradecode(B53)</f>
        <v>600036</v>
      </c>
      <c r="B53" s="1" t="s">
        <v>18</v>
      </c>
      <c r="C53" s="9">
        <f>[1]!s_stmnote_bank(A53,"31",$A$46,100000000)</f>
        <v>34187.4</v>
      </c>
      <c r="D53" s="9">
        <f>[1]!s_stmnote_bank(A53,"34",$A$46,100000000)</f>
        <v>607.39</v>
      </c>
      <c r="E53" s="9">
        <f>[1]!s_stmnote_bank(A53,"37",$A$46,100000000)</f>
        <v>215.44</v>
      </c>
      <c r="F53" s="9">
        <f>[1]!s_stmnote_bank(A53,"40",$A$46,100000000)</f>
        <v>235.31</v>
      </c>
      <c r="G53" s="9">
        <f>[1]!s_stmnote_bank(A53,"43",$A$46,100000000)</f>
        <v>153.84</v>
      </c>
      <c r="H53" s="9">
        <f>[1]!s_stmnote_bank_1n(A53,$A$46,1,100000000)</f>
        <v>35399.379999999997</v>
      </c>
      <c r="I53" s="9">
        <f t="shared" si="32"/>
        <v>0</v>
      </c>
      <c r="J53" s="9"/>
      <c r="K53" s="10">
        <f t="shared" si="26"/>
        <v>0.96576267719943132</v>
      </c>
      <c r="L53" s="10">
        <f t="shared" si="27"/>
        <v>1.7158210115544397E-2</v>
      </c>
      <c r="M53" s="10">
        <f t="shared" si="28"/>
        <v>6.0859822968650865E-3</v>
      </c>
      <c r="N53" s="10">
        <f t="shared" si="29"/>
        <v>6.647291562733585E-3</v>
      </c>
      <c r="O53" s="10">
        <f t="shared" si="30"/>
        <v>4.3458388254257567E-3</v>
      </c>
      <c r="P53" s="3">
        <f t="shared" si="31"/>
        <v>1.0000000000000002</v>
      </c>
      <c r="Q53" s="9">
        <f>[1]!s_stm07_is(A53,"W30028333",A$46,1,100000000)*2</f>
        <v>785.18</v>
      </c>
      <c r="R53" s="4">
        <f>[1]!s_stmnote_bank_22n(A53,$A$46,1,100000000)</f>
        <v>1358.44</v>
      </c>
      <c r="S53" s="4">
        <f>[1]!s_stmnote_bank_1n(A53,$A$46,1,100000000)</f>
        <v>35399.379999999997</v>
      </c>
      <c r="T53" s="10">
        <f t="shared" si="33"/>
        <v>3.8374683398409805E-2</v>
      </c>
    </row>
    <row r="54" spans="1:20" ht="14.25" x14ac:dyDescent="0.4">
      <c r="A54" s="1" t="str">
        <f>[1]!to_tradecode(B54)</f>
        <v>601998</v>
      </c>
      <c r="B54" s="1" t="s">
        <v>19</v>
      </c>
      <c r="C54" s="9">
        <f>[1]!s_stmnote_bank(A54,"31",$A$46,100000000)</f>
        <v>29689.5</v>
      </c>
      <c r="D54" s="9">
        <f>[1]!s_stmnote_bank(A54,"34",$A$46,100000000)</f>
        <v>710.26</v>
      </c>
      <c r="E54" s="9">
        <f>[1]!s_stmnote_bank(A54,"37",$A$46,100000000)</f>
        <v>283.48</v>
      </c>
      <c r="F54" s="9">
        <f>[1]!s_stmnote_bank(A54,"40",$A$46,100000000)</f>
        <v>183.14</v>
      </c>
      <c r="G54" s="9">
        <f>[1]!s_stmnote_bank(A54,"43",$A$46,100000000)</f>
        <v>44.57</v>
      </c>
      <c r="H54" s="9">
        <f>[1]!s_stmnote_bank_1n(A54,$A$46,1,100000000)</f>
        <v>30910.95</v>
      </c>
      <c r="I54" s="9">
        <f t="shared" si="32"/>
        <v>0</v>
      </c>
      <c r="J54" s="9"/>
      <c r="K54" s="10">
        <f t="shared" si="26"/>
        <v>0.9604848767184444</v>
      </c>
      <c r="L54" s="10">
        <f t="shared" si="27"/>
        <v>2.2977617963860702E-2</v>
      </c>
      <c r="M54" s="10">
        <f t="shared" si="28"/>
        <v>9.1708601644401103E-3</v>
      </c>
      <c r="N54" s="10">
        <f t="shared" si="29"/>
        <v>5.9247612900929928E-3</v>
      </c>
      <c r="O54" s="10">
        <f t="shared" si="30"/>
        <v>1.4418838631617599E-3</v>
      </c>
      <c r="P54" s="3">
        <f t="shared" si="31"/>
        <v>1</v>
      </c>
      <c r="Q54" s="9">
        <f>[1]!s_stm07_is(A54,"W30028333",A$46,1,100000000)*2</f>
        <v>480.22</v>
      </c>
      <c r="R54" s="4">
        <f>[1]!s_stmnote_bank_22n(A54,$A$46,1,100000000)</f>
        <v>781.99</v>
      </c>
      <c r="S54" s="4">
        <f>[1]!s_stmnote_bank_1n(A54,$A$46,1,100000000)</f>
        <v>30910.95</v>
      </c>
      <c r="T54" s="10">
        <f t="shared" si="33"/>
        <v>2.5298154860979683E-2</v>
      </c>
    </row>
    <row r="55" spans="1:20" ht="14.25" x14ac:dyDescent="0.4">
      <c r="A55" s="1" t="str">
        <f>[1]!to_tradecode(B55)</f>
        <v>600000</v>
      </c>
      <c r="B55" s="1" t="s">
        <v>20</v>
      </c>
      <c r="C55" s="9">
        <f>[1]!s_stmnote_bank(A55,"31",$A$46,100000000)</f>
        <v>28482.22</v>
      </c>
      <c r="D55" s="9">
        <f>[1]!s_stmnote_bank(A55,"34",$A$46,100000000)</f>
        <v>1158.67</v>
      </c>
      <c r="E55" s="9">
        <f>[1]!s_stmnote_bank(A55,"37",$A$46,100000000)</f>
        <v>272.98</v>
      </c>
      <c r="F55" s="9">
        <f>[1]!s_stmnote_bank(A55,"40",$A$46,100000000)</f>
        <v>223.38</v>
      </c>
      <c r="G55" s="9">
        <f>[1]!s_stmnote_bank(A55,"43",$A$46,100000000)</f>
        <v>137.61000000000001</v>
      </c>
      <c r="H55" s="9">
        <f>[1]!s_stmnote_bank_1n(A55,$A$46,1,100000000)</f>
        <v>30274.86</v>
      </c>
      <c r="I55" s="9">
        <f t="shared" si="32"/>
        <v>0</v>
      </c>
      <c r="J55" s="9"/>
      <c r="K55" s="10">
        <f t="shared" si="26"/>
        <v>0.94078783518734688</v>
      </c>
      <c r="L55" s="10">
        <f t="shared" si="27"/>
        <v>3.8271688126716358E-2</v>
      </c>
      <c r="M55" s="10">
        <f t="shared" si="28"/>
        <v>9.0167221252220493E-3</v>
      </c>
      <c r="N55" s="10">
        <f t="shared" si="29"/>
        <v>7.3783991073782008E-3</v>
      </c>
      <c r="O55" s="10">
        <f t="shared" si="30"/>
        <v>4.5453554533365307E-3</v>
      </c>
      <c r="P55" s="3">
        <f t="shared" si="31"/>
        <v>1</v>
      </c>
      <c r="Q55" s="9">
        <f>[1]!s_stm07_is(A55,"W30028333",A$46,1,100000000)*2</f>
        <v>563.29999999999995</v>
      </c>
      <c r="R55" s="4">
        <f>[1]!s_stmnote_bank_22n(A55,$A$46,1,100000000)</f>
        <v>977.65</v>
      </c>
      <c r="S55" s="4">
        <f>[1]!s_stmnote_bank_1n(A55,$A$46,1,100000000)</f>
        <v>30274.86</v>
      </c>
      <c r="T55" s="10">
        <f t="shared" si="33"/>
        <v>3.2292469725706409E-2</v>
      </c>
    </row>
    <row r="56" spans="1:20" ht="14.25" x14ac:dyDescent="0.4">
      <c r="A56" s="1" t="str">
        <f>[1]!to_tradecode(B56)</f>
        <v>600016</v>
      </c>
      <c r="B56" s="1" t="s">
        <v>21</v>
      </c>
      <c r="C56" s="9">
        <f>[1]!s_stmnote_bank(A56,"31",$A$46,100000000)</f>
        <v>25611.1</v>
      </c>
      <c r="D56" s="9">
        <f>[1]!s_stmnote_bank(A56,"34",$A$46,100000000)</f>
        <v>995.74</v>
      </c>
      <c r="E56" s="9">
        <f>[1]!s_stmnote_bank(A56,"37",$A$46,100000000)</f>
        <v>167.73</v>
      </c>
      <c r="F56" s="9">
        <f>[1]!s_stmnote_bank(A56,"40",$A$46,100000000)</f>
        <v>203.31</v>
      </c>
      <c r="G56" s="9">
        <f>[1]!s_stmnote_bank(A56,"43",$A$46,100000000)</f>
        <v>85.06</v>
      </c>
      <c r="H56" s="9">
        <f>[1]!s_stmnote_bank_1n(A56,$A$46,1,100000000)</f>
        <v>27062.94</v>
      </c>
      <c r="I56" s="9">
        <f t="shared" si="32"/>
        <v>0</v>
      </c>
      <c r="J56" s="9"/>
      <c r="K56" s="10">
        <f t="shared" si="26"/>
        <v>0.94635320478854112</v>
      </c>
      <c r="L56" s="10">
        <f t="shared" si="27"/>
        <v>3.6793489546959796E-2</v>
      </c>
      <c r="M56" s="10">
        <f t="shared" si="28"/>
        <v>6.1977745211717573E-3</v>
      </c>
      <c r="N56" s="10">
        <f t="shared" si="29"/>
        <v>7.5124875567842966E-3</v>
      </c>
      <c r="O56" s="10">
        <f t="shared" si="30"/>
        <v>3.1430435865430735E-3</v>
      </c>
      <c r="P56" s="3">
        <f t="shared" si="31"/>
        <v>1</v>
      </c>
      <c r="Q56" s="9">
        <f>[1]!s_stm07_is(A56,"W30028333",A$46,1,100000000)*2</f>
        <v>561.76</v>
      </c>
      <c r="R56" s="4">
        <f>[1]!s_stmnote_bank_22n(A56,$A$46,1,100000000)</f>
        <v>699.33</v>
      </c>
      <c r="S56" s="4">
        <f>[1]!s_stmnote_bank_1n(A56,$A$46,1,100000000)</f>
        <v>27062.94</v>
      </c>
      <c r="T56" s="10">
        <f t="shared" si="33"/>
        <v>2.5840873164556404E-2</v>
      </c>
    </row>
    <row r="57" spans="1:20" ht="14.25" x14ac:dyDescent="0.4">
      <c r="A57" s="1" t="str">
        <f>[1]!to_tradecode(B57)</f>
        <v>601166</v>
      </c>
      <c r="B57" s="1" t="s">
        <v>22</v>
      </c>
      <c r="C57" s="9">
        <f>[1]!s_stmnote_bank(A57,"31",$A$46,100000000)</f>
        <v>21825.74</v>
      </c>
      <c r="D57" s="9">
        <f>[1]!s_stmnote_bank(A57,"34",$A$46,100000000)</f>
        <v>654.67999999999995</v>
      </c>
      <c r="E57" s="9">
        <f>[1]!s_stmnote_bank(A57,"37",$A$46,100000000)</f>
        <v>137.94999999999999</v>
      </c>
      <c r="F57" s="9">
        <f>[1]!s_stmnote_bank(A57,"40",$A$46,100000000)</f>
        <v>163.87</v>
      </c>
      <c r="G57" s="9">
        <f>[1]!s_stmnote_bank(A57,"43",$A$46,100000000)</f>
        <v>64.41</v>
      </c>
      <c r="H57" s="9">
        <f>[1]!s_stmnote_bank_1n(A57,$A$46,1,100000000)</f>
        <v>22846.65</v>
      </c>
      <c r="I57" s="9">
        <f t="shared" si="32"/>
        <v>0</v>
      </c>
      <c r="J57" s="9"/>
      <c r="K57" s="10">
        <f t="shared" si="26"/>
        <v>0.95531467414259863</v>
      </c>
      <c r="L57" s="10">
        <f t="shared" si="27"/>
        <v>2.8655404621684137E-2</v>
      </c>
      <c r="M57" s="10">
        <f t="shared" si="28"/>
        <v>6.0380843581006394E-3</v>
      </c>
      <c r="N57" s="10">
        <f t="shared" si="29"/>
        <v>7.1726051740627177E-3</v>
      </c>
      <c r="O57" s="10">
        <f t="shared" si="30"/>
        <v>2.8192317035539123E-3</v>
      </c>
      <c r="P57" s="3">
        <f t="shared" si="31"/>
        <v>1</v>
      </c>
      <c r="Q57" s="9">
        <f>[1]!s_stm07_is(A57,"W30028333",A$46,1,100000000)*2</f>
        <v>632.02</v>
      </c>
      <c r="R57" s="4">
        <f>[1]!s_stmnote_bank_22n(A57,$A$46,1,100000000)</f>
        <v>814.86</v>
      </c>
      <c r="S57" s="4">
        <f>[1]!s_stmnote_bank_1n(A57,$A$46,1,100000000)</f>
        <v>22846.65</v>
      </c>
      <c r="T57" s="10">
        <f t="shared" si="33"/>
        <v>3.5666498151807814E-2</v>
      </c>
    </row>
    <row r="58" spans="1:20" ht="14.25" x14ac:dyDescent="0.4">
      <c r="A58" s="1" t="str">
        <f>[1]!to_tradecode(B58)</f>
        <v>601818</v>
      </c>
      <c r="B58" s="1" t="s">
        <v>23</v>
      </c>
      <c r="C58" s="9">
        <f>[1]!s_stmnote_bank(A58,"31",$A$46,100000000)</f>
        <v>18681.919999999998</v>
      </c>
      <c r="D58" s="9">
        <f>[1]!s_stmnote_bank(A58,"34",$A$46,100000000)</f>
        <v>651.95000000000005</v>
      </c>
      <c r="E58" s="9">
        <f>[1]!s_stmnote_bank(A58,"37",$A$46,100000000)</f>
        <v>111.15</v>
      </c>
      <c r="F58" s="9">
        <f>[1]!s_stmnote_bank(A58,"40",$A$46,100000000)</f>
        <v>148.63999999999999</v>
      </c>
      <c r="G58" s="9">
        <f>[1]!s_stmnote_bank(A58,"43",$A$46,100000000)</f>
        <v>50.82</v>
      </c>
      <c r="H58" s="9">
        <f>[1]!s_stmnote_bank_1n(A58,$A$46,1,100000000)</f>
        <v>19644.48</v>
      </c>
      <c r="I58" s="9">
        <f t="shared" si="32"/>
        <v>0</v>
      </c>
      <c r="J58" s="9"/>
      <c r="K58" s="10">
        <f t="shared" si="26"/>
        <v>0.95100099366335977</v>
      </c>
      <c r="L58" s="10">
        <f t="shared" si="27"/>
        <v>3.318743993223542E-2</v>
      </c>
      <c r="M58" s="10">
        <f t="shared" si="28"/>
        <v>5.6580779944289698E-3</v>
      </c>
      <c r="N58" s="10">
        <f t="shared" si="29"/>
        <v>7.5665021420775703E-3</v>
      </c>
      <c r="O58" s="10">
        <f t="shared" si="30"/>
        <v>2.5869862678981575E-3</v>
      </c>
      <c r="P58" s="3">
        <f t="shared" si="31"/>
        <v>0.99999999999999978</v>
      </c>
      <c r="Q58" s="9">
        <f>[1]!s_stm07_is(A58,"W30028333",A$46,1,100000000)*2</f>
        <v>338.78</v>
      </c>
      <c r="R58" s="4">
        <f>[1]!s_stmnote_bank_22n(A58,$A$46,1,100000000)</f>
        <v>472.67</v>
      </c>
      <c r="S58" s="4">
        <f>[1]!s_stmnote_bank_1n(A58,$A$46,1,100000000)</f>
        <v>19644.48</v>
      </c>
      <c r="T58" s="10">
        <f t="shared" si="33"/>
        <v>2.406121210640343E-2</v>
      </c>
    </row>
    <row r="59" spans="1:20" ht="14.25" x14ac:dyDescent="0.4">
      <c r="A59" s="1" t="str">
        <f>[1]!to_tradecode(B59)</f>
        <v>600015</v>
      </c>
      <c r="B59" s="1" t="s">
        <v>24</v>
      </c>
      <c r="C59" s="9">
        <f>[1]!s_stmnote_bank(A59,"31",$A$46,100000000)</f>
        <v>12293.8</v>
      </c>
      <c r="D59" s="9">
        <f>[1]!s_stmnote_bank(A59,"34",$A$46,100000000)</f>
        <v>581.22</v>
      </c>
      <c r="E59" s="9">
        <f>[1]!s_stmnote_bank(A59,"37",$A$46,100000000)</f>
        <v>91.28</v>
      </c>
      <c r="F59" s="9">
        <f>[1]!s_stmnote_bank(A59,"40",$A$46,100000000)</f>
        <v>88.25</v>
      </c>
      <c r="G59" s="9">
        <f>[1]!s_stmnote_bank(A59,"43",$A$46,100000000)</f>
        <v>40.98</v>
      </c>
      <c r="H59" s="9">
        <f>[1]!s_stmnote_bank_1n(A59,$A$46,1,100000000)</f>
        <v>13095.53</v>
      </c>
      <c r="I59" s="9">
        <f t="shared" si="32"/>
        <v>0</v>
      </c>
      <c r="J59" s="9"/>
      <c r="K59" s="10">
        <f t="shared" si="26"/>
        <v>0.93877834650449421</v>
      </c>
      <c r="L59" s="10">
        <f t="shared" si="27"/>
        <v>4.438308338799575E-2</v>
      </c>
      <c r="M59" s="10">
        <f t="shared" si="28"/>
        <v>6.970317352562286E-3</v>
      </c>
      <c r="N59" s="10">
        <f t="shared" si="29"/>
        <v>6.7389406919765747E-3</v>
      </c>
      <c r="O59" s="10">
        <f t="shared" si="30"/>
        <v>3.1293120629711049E-3</v>
      </c>
      <c r="P59" s="3">
        <f t="shared" si="31"/>
        <v>0.99999999999999989</v>
      </c>
      <c r="Q59" s="9">
        <f>[1]!s_stm07_is(A59,"W30028333",A$46,1,100000000)*2</f>
        <v>196.72</v>
      </c>
      <c r="R59" s="4">
        <f>[1]!s_stmnote_bank_22n(A59,$A$46,1,100000000)</f>
        <v>347.58</v>
      </c>
      <c r="S59" s="4">
        <f>[1]!s_stmnote_bank_1n(A59,$A$46,1,100000000)</f>
        <v>13095.53</v>
      </c>
      <c r="T59" s="10">
        <f t="shared" si="33"/>
        <v>2.6541881084614367E-2</v>
      </c>
    </row>
    <row r="60" spans="1:20" ht="14.25" x14ac:dyDescent="0.4">
      <c r="A60" s="1" t="str">
        <f>[1]!to_tradecode(B60)</f>
        <v>000001</v>
      </c>
      <c r="B60" s="1" t="s">
        <v>25</v>
      </c>
      <c r="C60" s="9">
        <f>[1]!s_stmnote_bank(A60,"31",$A$46,100000000)</f>
        <v>15002.35</v>
      </c>
      <c r="D60" s="9">
        <f>[1]!s_stmnote_bank(A60,"34",$A$46,100000000)</f>
        <v>660.09</v>
      </c>
      <c r="E60" s="9">
        <f>[1]!s_stmnote_bank(A60,"37",$A$46,100000000)</f>
        <v>137.6</v>
      </c>
      <c r="F60" s="9">
        <f>[1]!s_stmnote_bank(A60,"40",$A$46,100000000)</f>
        <v>49.77</v>
      </c>
      <c r="G60" s="9">
        <f>[1]!s_stmnote_bank(A60,"43",$A$46,100000000)</f>
        <v>93</v>
      </c>
      <c r="H60" s="9">
        <f>[1]!s_stmnote_bank_1n(A60,$A$46,1,100000000)</f>
        <v>15942.81</v>
      </c>
      <c r="I60" s="9">
        <f t="shared" si="32"/>
        <v>0</v>
      </c>
      <c r="J60" s="9"/>
      <c r="K60" s="10">
        <f t="shared" si="26"/>
        <v>0.94101039904508688</v>
      </c>
      <c r="L60" s="10">
        <f t="shared" si="27"/>
        <v>4.1403617053706342E-2</v>
      </c>
      <c r="M60" s="10">
        <f t="shared" si="28"/>
        <v>8.6308498940901885E-3</v>
      </c>
      <c r="N60" s="10">
        <f t="shared" si="29"/>
        <v>3.1217834246284066E-3</v>
      </c>
      <c r="O60" s="10">
        <f t="shared" si="30"/>
        <v>5.8333505824882817E-3</v>
      </c>
      <c r="P60" s="3">
        <f t="shared" si="31"/>
        <v>1.0000000000000002</v>
      </c>
      <c r="Q60" s="9">
        <f>[1]!s_stm07_is(A60,"W30028333",A$46,1,100000000)*2</f>
        <v>251.08</v>
      </c>
      <c r="R60" s="4">
        <f>[1]!s_stmnote_bank_22n(A60,$A$46,1,100000000)</f>
        <v>452.29</v>
      </c>
      <c r="S60" s="4">
        <f>[1]!s_stmnote_bank_1n(A60,$A$46,1,100000000)</f>
        <v>15942.81</v>
      </c>
      <c r="T60" s="10">
        <f t="shared" si="33"/>
        <v>2.8369528332834678E-2</v>
      </c>
    </row>
    <row r="61" spans="1:20" ht="14.25" x14ac:dyDescent="0.4">
      <c r="A61" s="1" t="str">
        <f>[1]!to_tradecode(B61)</f>
        <v>601169</v>
      </c>
      <c r="B61" s="1" t="s">
        <v>26</v>
      </c>
      <c r="C61" s="9">
        <f>[1]!s_stmnote_bank(A61,"31",$A$46,100000000)</f>
        <v>9805.0815999999995</v>
      </c>
      <c r="D61" s="9">
        <f>[1]!s_stmnote_bank(A61,"34",$A$46,100000000)</f>
        <v>117.7701</v>
      </c>
      <c r="E61" s="9">
        <f>[1]!s_stmnote_bank(A61,"37",$A$46,100000000)</f>
        <v>93.376300000000001</v>
      </c>
      <c r="F61" s="9">
        <f>[1]!s_stmnote_bank(A61,"40",$A$46,100000000)</f>
        <v>5.6585999999999999</v>
      </c>
      <c r="G61" s="9">
        <f>[1]!s_stmnote_bank(A61,"43",$A$46,100000000)</f>
        <v>19.6464</v>
      </c>
      <c r="H61" s="9">
        <v>10041.532999999999</v>
      </c>
      <c r="I61" s="9">
        <f t="shared" si="32"/>
        <v>0</v>
      </c>
      <c r="J61" s="9"/>
      <c r="K61" s="10">
        <f t="shared" si="26"/>
        <v>0.97645265917066648</v>
      </c>
      <c r="L61" s="10">
        <f t="shared" si="27"/>
        <v>1.172829885635988E-2</v>
      </c>
      <c r="M61" s="10">
        <f t="shared" si="28"/>
        <v>9.2990084282947635E-3</v>
      </c>
      <c r="N61" s="10">
        <f t="shared" si="29"/>
        <v>5.6351953431811662E-4</v>
      </c>
      <c r="O61" s="10">
        <f t="shared" si="30"/>
        <v>1.9565140103607686E-3</v>
      </c>
      <c r="P61" s="3">
        <f t="shared" si="31"/>
        <v>1</v>
      </c>
      <c r="Q61" s="9">
        <f>[1]!s_stm07_is(A61,"W30028333",A$46,1,100000000)*2</f>
        <v>221.58</v>
      </c>
      <c r="R61" s="4">
        <f>[1]!s_stmnote_bank_22n(A61,$A$46,1,100000000)</f>
        <v>312.14999999999998</v>
      </c>
      <c r="S61" s="4">
        <f>[1]!s_stmnote_bank_1n(A61,$A$46,1,100000000)</f>
        <v>10295.5</v>
      </c>
      <c r="T61" s="10">
        <f t="shared" si="33"/>
        <v>3.0319071438978194E-2</v>
      </c>
    </row>
    <row r="62" spans="1:20" ht="14.25" x14ac:dyDescent="0.4">
      <c r="A62" s="1" t="str">
        <f>[1]!to_tradecode(B62)</f>
        <v>601009</v>
      </c>
      <c r="B62" s="1" t="s">
        <v>27</v>
      </c>
      <c r="C62" s="9">
        <f>[1]!s_stmnote_bank(A62,"31",$A$46,100000000)</f>
        <v>3586.1287200000002</v>
      </c>
      <c r="D62" s="9">
        <f>[1]!s_stmnote_bank(A62,"34",$A$46,100000000)</f>
        <v>67.222840000000005</v>
      </c>
      <c r="E62" s="9">
        <f>[1]!s_stmnote_bank(A62,"37",$A$46,100000000)</f>
        <v>21.713480000000001</v>
      </c>
      <c r="F62" s="9">
        <f>[1]!s_stmnote_bank(A62,"40",$A$46,100000000)</f>
        <v>7.54765</v>
      </c>
      <c r="G62" s="9">
        <f>[1]!s_stmnote_bank(A62,"43",$A$46,100000000)</f>
        <v>2.6046</v>
      </c>
      <c r="H62" s="9">
        <f>[1]!s_stmnote_bank_1n(A62,$A$46,1,100000000)</f>
        <v>3685.21729</v>
      </c>
      <c r="I62" s="9">
        <f t="shared" si="32"/>
        <v>0</v>
      </c>
      <c r="J62" s="9"/>
      <c r="K62" s="10">
        <f t="shared" si="26"/>
        <v>0.97311187856713877</v>
      </c>
      <c r="L62" s="10">
        <f t="shared" si="27"/>
        <v>1.8241214753445381E-2</v>
      </c>
      <c r="M62" s="10">
        <f t="shared" si="28"/>
        <v>5.8920487698026621E-3</v>
      </c>
      <c r="N62" s="10">
        <f t="shared" si="29"/>
        <v>2.0480881874946374E-3</v>
      </c>
      <c r="O62" s="10">
        <f t="shared" si="30"/>
        <v>7.0676972211861078E-4</v>
      </c>
      <c r="P62" s="3">
        <f t="shared" si="31"/>
        <v>1.0000000000000002</v>
      </c>
      <c r="Q62" s="9">
        <f>[1]!s_stm07_is(A62,"W30028333",A$46,1,100000000)*2</f>
        <v>102.09054</v>
      </c>
      <c r="R62" s="4">
        <f>[1]!s_stmnote_bank_22n(A62,$A$46,1,100000000)</f>
        <v>143.4573</v>
      </c>
      <c r="S62" s="4">
        <f>[1]!s_stmnote_bank_1n(A62,$A$46,1,100000000)</f>
        <v>3685.21729</v>
      </c>
      <c r="T62" s="10">
        <f t="shared" si="33"/>
        <v>3.8927772424512855E-2</v>
      </c>
    </row>
    <row r="63" spans="1:20" ht="14.25" x14ac:dyDescent="0.4">
      <c r="A63" s="1" t="str">
        <f>[1]!to_tradecode(B63)</f>
        <v>002142</v>
      </c>
      <c r="B63" s="1" t="s">
        <v>28</v>
      </c>
      <c r="C63" s="9">
        <f>[1]!s_stmnote_bank(A63,"31",$A$46,100000000)</f>
        <v>3202.2810100000002</v>
      </c>
      <c r="D63" s="9">
        <f>[1]!s_stmnote_bank(A63,"34",$A$46,100000000)</f>
        <v>25.14714</v>
      </c>
      <c r="E63" s="9">
        <f>[1]!s_stmnote_bank(A63,"37",$A$46,100000000)</f>
        <v>17.690429999999999</v>
      </c>
      <c r="F63" s="9">
        <f>[1]!s_stmnote_bank(A63,"40",$A$46,100000000)</f>
        <v>9.8030799999999996</v>
      </c>
      <c r="G63" s="9">
        <f>[1]!s_stmnote_bank(A63,"43",$A$46,100000000)</f>
        <v>2.0604200000000001</v>
      </c>
      <c r="H63" s="9">
        <f>[1]!s_stmnote_bank_1n(A63,$A$46,1,100000000)</f>
        <v>3256.9820800000002</v>
      </c>
      <c r="I63" s="9">
        <f t="shared" si="32"/>
        <v>0</v>
      </c>
      <c r="J63" s="9"/>
      <c r="K63" s="10">
        <f t="shared" si="26"/>
        <v>0.98320498281648516</v>
      </c>
      <c r="L63" s="10">
        <f t="shared" si="27"/>
        <v>7.7209942770087329E-3</v>
      </c>
      <c r="M63" s="10">
        <f t="shared" si="28"/>
        <v>5.4315404768822059E-3</v>
      </c>
      <c r="N63" s="10">
        <f t="shared" si="29"/>
        <v>3.0098661150754625E-3</v>
      </c>
      <c r="O63" s="10">
        <f t="shared" si="30"/>
        <v>6.3261631454846693E-4</v>
      </c>
      <c r="P63" s="3">
        <f t="shared" si="31"/>
        <v>1</v>
      </c>
      <c r="Q63" s="9">
        <f>[1]!s_stm07_is(A63,"W30028333",A$46,1,100000000)*2</f>
        <v>95.309799999999996</v>
      </c>
      <c r="R63" s="4">
        <f>[1]!s_stmnote_bank_22n(A63,$A$46,1,100000000)</f>
        <v>117.77978</v>
      </c>
      <c r="S63" s="4">
        <f>[1]!s_stmnote_bank_1n(A63,$A$46,1,100000000)</f>
        <v>3256.9820800000002</v>
      </c>
      <c r="T63" s="10">
        <f t="shared" si="33"/>
        <v>3.6162243791037378E-2</v>
      </c>
    </row>
    <row r="64" spans="1:20" ht="14.25" x14ac:dyDescent="0.4">
      <c r="A64" s="1" t="str">
        <f>[1]!to_tradecode(B64)</f>
        <v>601229</v>
      </c>
      <c r="B64" s="1" t="s">
        <v>29</v>
      </c>
      <c r="C64" s="9">
        <f>[1]!s_stmnote_bank(A64,"31",$A$46,100000000)</f>
        <v>5811.7031699999998</v>
      </c>
      <c r="D64" s="9">
        <f>[1]!s_stmnote_bank(A64,"34",$A$46,100000000)</f>
        <v>127.54994000000001</v>
      </c>
      <c r="E64" s="9">
        <f>[1]!s_stmnote_bank(A64,"37",$A$46,100000000)</f>
        <v>22.93852</v>
      </c>
      <c r="F64" s="9">
        <f>[1]!s_stmnote_bank(A64,"40",$A$46,100000000)</f>
        <v>35.032730000000001</v>
      </c>
      <c r="G64" s="9">
        <f>[1]!s_stmnote_bank(A64,"43",$A$46,100000000)</f>
        <v>11.854799999999999</v>
      </c>
      <c r="H64" s="9">
        <f>[1]!s_stmnote_bank_1n(A64,$A$46,1,100000000)</f>
        <v>6009.0791600000002</v>
      </c>
      <c r="I64" s="9">
        <f t="shared" si="32"/>
        <v>0</v>
      </c>
      <c r="J64" s="9"/>
      <c r="K64" s="10">
        <f t="shared" si="26"/>
        <v>0.96715370446209925</v>
      </c>
      <c r="L64" s="10">
        <f t="shared" si="27"/>
        <v>2.1226203982974323E-2</v>
      </c>
      <c r="M64" s="10">
        <f t="shared" si="28"/>
        <v>3.8173103381117716E-3</v>
      </c>
      <c r="N64" s="10">
        <f t="shared" si="29"/>
        <v>5.8299664669419996E-3</v>
      </c>
      <c r="O64" s="10">
        <f t="shared" si="30"/>
        <v>1.9728147498725909E-3</v>
      </c>
      <c r="P64" s="3">
        <f t="shared" si="31"/>
        <v>0.99999999999999989</v>
      </c>
      <c r="Q64" s="9">
        <f>[1]!s_stm07_is(A64,"W30028333",A$46,1,100000000)*2</f>
        <v>155.91713999999999</v>
      </c>
      <c r="R64" s="4">
        <f>[1]!s_stmnote_bank_22n(A64,$A$46,1,100000000)</f>
        <v>180.88937999999999</v>
      </c>
      <c r="S64" s="4">
        <f>[1]!s_stmnote_bank_1n(A64,$A$46,1,100000000)</f>
        <v>6009.0791600000002</v>
      </c>
      <c r="T64" s="10">
        <f t="shared" si="33"/>
        <v>3.0102678827083378E-2</v>
      </c>
    </row>
    <row r="65" spans="1:23" ht="14.25" x14ac:dyDescent="0.4">
      <c r="A65" s="1" t="str">
        <f>[1]!to_tradecode(B65)</f>
        <v>601997</v>
      </c>
      <c r="B65" s="1" t="s">
        <v>30</v>
      </c>
      <c r="C65" s="9">
        <f>[1]!s_stmnote_bank(A65,"31",$A$46,100000000)</f>
        <v>1040.7348500000001</v>
      </c>
      <c r="D65" s="9">
        <f>[1]!s_stmnote_bank(A65,"34",$A$46,100000000)</f>
        <v>39.996290000000002</v>
      </c>
      <c r="E65" s="9">
        <f>[1]!s_stmnote_bank(A65,"37",$A$46,100000000)</f>
        <v>7.5041200000000003</v>
      </c>
      <c r="F65" s="9">
        <f>[1]!s_stmnote_bank(A65,"40",$A$46,100000000)</f>
        <v>4.91737</v>
      </c>
      <c r="G65" s="9">
        <f>[1]!s_stmnote_bank(A65,"43",$A$46,100000000)</f>
        <v>3.5967500000000001</v>
      </c>
      <c r="H65" s="9">
        <f>[1]!s_stmnote_bank_1n(A65,$A$46,1,100000000)</f>
        <v>1096.74937</v>
      </c>
      <c r="I65" s="9">
        <f t="shared" si="32"/>
        <v>-9.9999999747524271E-6</v>
      </c>
      <c r="J65" s="9"/>
      <c r="K65" s="10">
        <f t="shared" si="26"/>
        <v>0.94892678169489175</v>
      </c>
      <c r="L65" s="10">
        <f t="shared" si="27"/>
        <v>3.6468030977761128E-2</v>
      </c>
      <c r="M65" s="10">
        <f t="shared" si="28"/>
        <v>6.8421466246203549E-3</v>
      </c>
      <c r="N65" s="10">
        <f t="shared" si="29"/>
        <v>4.4835858898191116E-3</v>
      </c>
      <c r="O65" s="10">
        <f t="shared" si="30"/>
        <v>3.2794639307611364E-3</v>
      </c>
      <c r="P65" s="3">
        <f t="shared" si="31"/>
        <v>1.0000000091178534</v>
      </c>
      <c r="Q65" s="9">
        <f>[1]!s_stm07_is(A65,"W30028333",A$46,1,100000000)*2</f>
        <v>38.0413</v>
      </c>
      <c r="R65" s="4">
        <f>[1]!s_stmnote_bank_22n(A65,$A$46,1,100000000)</f>
        <v>40.28772</v>
      </c>
      <c r="S65" s="4">
        <f>[1]!s_stmnote_bank_1n(A65,$A$46,1,100000000)</f>
        <v>1096.74937</v>
      </c>
      <c r="T65" s="10">
        <f t="shared" si="33"/>
        <v>3.6733752580135969E-2</v>
      </c>
      <c r="U65" s="11"/>
      <c r="V65" s="11"/>
      <c r="W65" s="11"/>
    </row>
    <row r="66" spans="1:23" ht="14.25" x14ac:dyDescent="0.4">
      <c r="A66" s="1" t="str">
        <f>[1]!to_tradecode(B66)</f>
        <v>600926</v>
      </c>
      <c r="B66" s="1" t="s">
        <v>31</v>
      </c>
      <c r="C66" s="9">
        <f>[1]!s_stmnote_bank(A66,"31",$A$46,100000000)</f>
        <v>2588.3849100000002</v>
      </c>
      <c r="D66" s="9">
        <f>[1]!s_stmnote_bank(A66,"34",$A$46,100000000)</f>
        <v>98.72</v>
      </c>
      <c r="E66" s="9">
        <f>[1]!s_stmnote_bank(A66,"37",$A$46,100000000)</f>
        <v>20.028590000000001</v>
      </c>
      <c r="F66" s="9">
        <f>[1]!s_stmnote_bank(A66,"40",$A$46,100000000)</f>
        <v>3.8999899999999998</v>
      </c>
      <c r="G66" s="9">
        <f>[1]!s_stmnote_bank(A66,"43",$A$46,100000000)</f>
        <v>20.081520000000001</v>
      </c>
      <c r="H66" s="9">
        <f>[1]!s_stmnote_bank_1n(A66,$A$46,1,100000000)</f>
        <v>2731.11501</v>
      </c>
      <c r="I66" s="9">
        <f t="shared" si="32"/>
        <v>0</v>
      </c>
      <c r="J66" s="9"/>
      <c r="K66" s="10">
        <f t="shared" si="26"/>
        <v>0.94773925686857119</v>
      </c>
      <c r="L66" s="10">
        <f t="shared" si="27"/>
        <v>3.6146408935008562E-2</v>
      </c>
      <c r="M66" s="10">
        <f t="shared" si="28"/>
        <v>7.333484648821143E-3</v>
      </c>
      <c r="N66" s="10">
        <f t="shared" si="29"/>
        <v>1.4279845358837525E-3</v>
      </c>
      <c r="O66" s="10">
        <f t="shared" si="30"/>
        <v>7.3528650117154907E-3</v>
      </c>
      <c r="P66" s="3">
        <f t="shared" si="31"/>
        <v>1</v>
      </c>
      <c r="Q66" s="9">
        <f>[1]!s_stm07_is(A66,"W30028333",A$46,1,100000000)*2</f>
        <v>50.62238</v>
      </c>
      <c r="R66" s="4">
        <f>[1]!s_stmnote_bank_22n(A66,$A$46,1,100000000)</f>
        <v>81.368530000000007</v>
      </c>
      <c r="S66" s="4">
        <f>[1]!s_stmnote_bank_1n(A66,$A$46,1,100000000)</f>
        <v>2731.11501</v>
      </c>
      <c r="T66" s="10">
        <f t="shared" si="33"/>
        <v>2.9793153969008432E-2</v>
      </c>
      <c r="U66" s="11"/>
      <c r="V66" s="11"/>
      <c r="W66" s="11"/>
    </row>
    <row r="67" spans="1:23" ht="14.25" x14ac:dyDescent="0.4">
      <c r="A67" s="1" t="str">
        <f>[1]!to_tradecode(B67)</f>
        <v>600919</v>
      </c>
      <c r="B67" s="1" t="s">
        <v>32</v>
      </c>
      <c r="C67" s="9">
        <f>[1]!s_stmnote_bank(A67,"31",$A$46,100000000)</f>
        <v>6702.3899099999999</v>
      </c>
      <c r="D67" s="9">
        <f>[1]!s_stmnote_bank(A67,"34",$A$46,100000000)</f>
        <v>207.65314000000001</v>
      </c>
      <c r="E67" s="9">
        <f>[1]!s_stmnote_bank(A67,"37",$A$46,100000000)</f>
        <v>52.106589999999997</v>
      </c>
      <c r="F67" s="9">
        <f>[1]!s_stmnote_bank(A67,"40",$A$46,100000000)</f>
        <v>34.686799999999998</v>
      </c>
      <c r="G67" s="9">
        <f>[1]!s_stmnote_bank(A67,"43",$A$46,100000000)</f>
        <v>13.780010000000001</v>
      </c>
      <c r="H67" s="9">
        <f>[1]!s_stmnote_bank_1n(A67,$A$46,1,100000000)</f>
        <v>7010.6164500000004</v>
      </c>
      <c r="I67" s="9">
        <f t="shared" si="32"/>
        <v>0</v>
      </c>
      <c r="J67" s="9"/>
      <c r="K67" s="10">
        <f t="shared" si="26"/>
        <v>0.95603431706779496</v>
      </c>
      <c r="L67" s="10">
        <f t="shared" si="27"/>
        <v>2.9619811821255747E-2</v>
      </c>
      <c r="M67" s="10">
        <f t="shared" si="28"/>
        <v>7.4325261368420742E-3</v>
      </c>
      <c r="N67" s="10">
        <f t="shared" si="29"/>
        <v>4.9477532036430261E-3</v>
      </c>
      <c r="O67" s="10">
        <f t="shared" si="30"/>
        <v>1.9655917704640654E-3</v>
      </c>
      <c r="P67" s="3">
        <f t="shared" si="31"/>
        <v>0.99999999999999989</v>
      </c>
      <c r="Q67" s="9">
        <f>[1]!s_stm07_is(A67,"W30028333",A$46,1,100000000)*2</f>
        <v>123.53572</v>
      </c>
      <c r="R67" s="4">
        <f>[1]!s_stmnote_bank_22n(A67,$A$46,1,100000000)</f>
        <v>182.36618999999999</v>
      </c>
      <c r="S67" s="4">
        <f>[1]!s_stmnote_bank_1n(A67,$A$46,1,100000000)</f>
        <v>7010.6164500000004</v>
      </c>
      <c r="T67" s="10">
        <f t="shared" si="33"/>
        <v>2.6012860823387361E-2</v>
      </c>
    </row>
    <row r="68" spans="1:23" ht="14.25" x14ac:dyDescent="0.4">
      <c r="A68" s="1" t="str">
        <f>[1]!to_tradecode(B68)</f>
        <v>600908</v>
      </c>
      <c r="B68" s="1" t="s">
        <v>33</v>
      </c>
      <c r="C68" s="9">
        <f>[1]!s_stmnote_bank(A68,"31",$A$46,100000000)</f>
        <v>618.77553999999998</v>
      </c>
      <c r="D68" s="9">
        <f>[1]!s_stmnote_bank(A68,"34",$A$46,100000000)</f>
        <v>9.5557599999999994</v>
      </c>
      <c r="E68" s="9">
        <f>[1]!s_stmnote_bank(A68,"37",$A$46,100000000)</f>
        <v>6.9572700000000003</v>
      </c>
      <c r="F68" s="9">
        <f>[1]!s_stmnote_bank(A68,"40",$A$46,100000000)</f>
        <v>1.30874</v>
      </c>
      <c r="G68" s="9">
        <f>[1]!s_stmnote_bank(A68,"43",$A$46,100000000)</f>
        <v>0.10197000000000001</v>
      </c>
      <c r="H68" s="9">
        <f>[1]!s_stmnote_bank_1n(A68,$A$46,1,100000000)</f>
        <v>636.69928000000004</v>
      </c>
      <c r="I68" s="9">
        <f t="shared" si="32"/>
        <v>0</v>
      </c>
      <c r="J68" s="9"/>
      <c r="K68" s="10">
        <f t="shared" si="26"/>
        <v>0.971848970835965</v>
      </c>
      <c r="L68" s="10">
        <f t="shared" si="27"/>
        <v>1.5008278319397501E-2</v>
      </c>
      <c r="M68" s="10">
        <f t="shared" si="28"/>
        <v>1.092708947307118E-2</v>
      </c>
      <c r="N68" s="10">
        <f t="shared" si="29"/>
        <v>2.0555072718159819E-3</v>
      </c>
      <c r="O68" s="10">
        <f t="shared" si="30"/>
        <v>1.6015409975019917E-4</v>
      </c>
      <c r="P68" s="3">
        <f t="shared" si="31"/>
        <v>1</v>
      </c>
      <c r="Q68" s="9">
        <f>[1]!s_stm07_is(A68,"W30028333",A$46,1,100000000)*2</f>
        <v>10.436400000000001</v>
      </c>
      <c r="R68" s="4">
        <f>[1]!s_stmnote_bank_22n(A68,$A$46,1,100000000)</f>
        <v>17.7926</v>
      </c>
      <c r="S68" s="4">
        <f>[1]!s_stmnote_bank_1n(A68,$A$46,1,100000000)</f>
        <v>636.69928000000004</v>
      </c>
      <c r="T68" s="10">
        <f t="shared" si="33"/>
        <v>2.794506065720696E-2</v>
      </c>
    </row>
    <row r="69" spans="1:23" ht="14.25" x14ac:dyDescent="0.4">
      <c r="A69" s="1" t="str">
        <f>[1]!to_tradecode(B69)</f>
        <v>601128</v>
      </c>
      <c r="B69" s="1" t="s">
        <v>34</v>
      </c>
      <c r="C69" s="9">
        <f>[1]!s_stmnote_bank(A69,"31",$A$46,100000000)</f>
        <v>685.68228999999997</v>
      </c>
      <c r="D69" s="9">
        <f>[1]!s_stmnote_bank(A69,"34",$A$46,100000000)</f>
        <v>22.512519999999999</v>
      </c>
      <c r="E69" s="9">
        <f>[1]!s_stmnote_bank(A69,"37",$A$46,100000000)</f>
        <v>9.02318</v>
      </c>
      <c r="F69" s="9">
        <f>[1]!s_stmnote_bank(A69,"40",$A$46,100000000)</f>
        <v>0.19458</v>
      </c>
      <c r="G69" s="9">
        <f>[1]!s_stmnote_bank(A69,"43",$A$46,100000000)</f>
        <v>5.4859999999999999E-2</v>
      </c>
      <c r="H69" s="9">
        <f>[1]!s_stmnote_bank_1n(A69,$A$46,1,100000000)</f>
        <v>717.46743000000004</v>
      </c>
      <c r="I69" s="9">
        <f t="shared" si="32"/>
        <v>0</v>
      </c>
      <c r="J69" s="9"/>
      <c r="K69" s="10">
        <f t="shared" si="26"/>
        <v>0.95569814228361549</v>
      </c>
      <c r="L69" s="10">
        <f t="shared" si="27"/>
        <v>3.1377758848230922E-2</v>
      </c>
      <c r="M69" s="10">
        <f t="shared" si="28"/>
        <v>1.2576431518292056E-2</v>
      </c>
      <c r="N69" s="10">
        <f t="shared" si="29"/>
        <v>2.7120394858899725E-4</v>
      </c>
      <c r="O69" s="10">
        <f t="shared" si="30"/>
        <v>7.6463401272445206E-5</v>
      </c>
      <c r="P69" s="3">
        <f t="shared" si="31"/>
        <v>0.99999999999999989</v>
      </c>
      <c r="Q69" s="9">
        <f>[1]!s_stm07_is(A69,"W30028333",A$46,1,100000000)*2</f>
        <v>11.419079999999999</v>
      </c>
      <c r="R69" s="4">
        <f>[1]!s_stmnote_bank_22n(A69,$A$46,1,100000000)</f>
        <v>24.698170000000001</v>
      </c>
      <c r="S69" s="4">
        <f>[1]!s_stmnote_bank_1n(A69,$A$46,1,100000000)</f>
        <v>717.46743000000004</v>
      </c>
      <c r="T69" s="10">
        <f t="shared" si="33"/>
        <v>3.4424099223570329E-2</v>
      </c>
    </row>
    <row r="70" spans="1:23" ht="14.25" x14ac:dyDescent="0.4">
      <c r="A70" s="1" t="str">
        <f>[1]!to_tradecode(B70)</f>
        <v>002807</v>
      </c>
      <c r="B70" s="1" t="s">
        <v>35</v>
      </c>
      <c r="C70" s="9">
        <f>[1]!s_stmnote_bank(A70,"31",$A$46,100000000)</f>
        <v>517.12267999999995</v>
      </c>
      <c r="D70" s="9">
        <f>[1]!s_stmnote_bank(A70,"34",$A$46,100000000)</f>
        <v>10.763260000000001</v>
      </c>
      <c r="E70" s="9">
        <f>[1]!s_stmnote_bank(A70,"37",$A$46,100000000)</f>
        <v>5.0457700000000001</v>
      </c>
      <c r="F70" s="9">
        <f>[1]!s_stmnote_bank(A70,"40",$A$46,100000000)</f>
        <v>6.7613799999999999</v>
      </c>
      <c r="G70" s="9">
        <f>[1]!s_stmnote_bank(A70,"43",$A$46,100000000)</f>
        <v>1.4669700000000001</v>
      </c>
      <c r="H70" s="9">
        <f>[1]!s_stmnote_bank_1n(A70,$A$46,1,100000000)</f>
        <v>541.16006000000004</v>
      </c>
      <c r="I70" s="9">
        <f t="shared" si="32"/>
        <v>0</v>
      </c>
      <c r="J70" s="9"/>
      <c r="K70" s="10">
        <f t="shared" si="26"/>
        <v>0.95558175523892119</v>
      </c>
      <c r="L70" s="10">
        <f t="shared" si="27"/>
        <v>1.9889235728150375E-2</v>
      </c>
      <c r="M70" s="10">
        <f t="shared" si="28"/>
        <v>9.323988174589232E-3</v>
      </c>
      <c r="N70" s="10">
        <f t="shared" si="29"/>
        <v>1.2494233221867851E-2</v>
      </c>
      <c r="O70" s="10">
        <f t="shared" si="30"/>
        <v>2.7107876364711762E-3</v>
      </c>
      <c r="P70" s="3">
        <f t="shared" si="31"/>
        <v>0.99999999999999978</v>
      </c>
      <c r="Q70" s="9">
        <f>[1]!s_stm07_is(A70,"W30028333",A$46,1,100000000)*2</f>
        <v>7.0487399999999996</v>
      </c>
      <c r="R70" s="4">
        <f>[1]!s_stmnote_bank_22n(A70,$A$46,1,100000000)</f>
        <v>23.377009999999999</v>
      </c>
      <c r="S70" s="4">
        <f>[1]!s_stmnote_bank_1n(A70,$A$46,1,100000000)</f>
        <v>541.16006000000004</v>
      </c>
      <c r="T70" s="10">
        <f t="shared" si="33"/>
        <v>4.3197958844191121E-2</v>
      </c>
    </row>
    <row r="71" spans="1:23" ht="14.25" x14ac:dyDescent="0.4">
      <c r="A71" s="1" t="str">
        <f>[1]!to_tradecode(B71)</f>
        <v>603323</v>
      </c>
      <c r="B71" s="1" t="s">
        <v>36</v>
      </c>
      <c r="C71" s="9">
        <f>[1]!s_stmnote_bank(A71,"31",$A$46,100000000)</f>
        <v>409.86730999999997</v>
      </c>
      <c r="D71" s="9">
        <f>[1]!s_stmnote_bank(A71,"34",$A$46,100000000)</f>
        <v>57.653190000000002</v>
      </c>
      <c r="E71" s="9">
        <f>[1]!s_stmnote_bank(A71,"37",$A$46,100000000)</f>
        <v>6.22966</v>
      </c>
      <c r="F71" s="9">
        <f>[1]!s_stmnote_bank(A71,"40",$A$46,100000000)</f>
        <v>1.1354299999999999</v>
      </c>
      <c r="G71" s="9">
        <f>[1]!s_stmnote_bank(A71,"43",$A$46,100000000)</f>
        <v>0.77741000000000005</v>
      </c>
      <c r="H71" s="9">
        <f>[1]!s_stmnote_bank_1n(A71,$A$46,1,100000000)</f>
        <v>475.66300000000001</v>
      </c>
      <c r="I71" s="9">
        <f t="shared" si="32"/>
        <v>0</v>
      </c>
      <c r="J71" s="9"/>
      <c r="K71" s="10">
        <f t="shared" si="26"/>
        <v>0.8616758293161334</v>
      </c>
      <c r="L71" s="10">
        <f t="shared" si="27"/>
        <v>0.12120595884060774</v>
      </c>
      <c r="M71" s="10">
        <f t="shared" si="28"/>
        <v>1.3096793317958303E-2</v>
      </c>
      <c r="N71" s="10">
        <f t="shared" si="29"/>
        <v>2.387047132108236E-3</v>
      </c>
      <c r="O71" s="10">
        <f t="shared" si="30"/>
        <v>1.6343713931922391E-3</v>
      </c>
      <c r="P71" s="3">
        <f t="shared" si="31"/>
        <v>0.99999999999999989</v>
      </c>
      <c r="Q71" s="9">
        <f>[1]!s_stm07_is(A71,"W30028333",A$46,1,100000000)*2</f>
        <v>8.7552599999999998</v>
      </c>
      <c r="R71" s="4">
        <f>[1]!s_stmnote_bank_22n(A71,$A$46,1,100000000)</f>
        <v>14.943429999999999</v>
      </c>
      <c r="S71" s="4">
        <f>[1]!s_stmnote_bank_1n(A71,$A$46,1,100000000)</f>
        <v>475.66300000000001</v>
      </c>
      <c r="T71" s="10">
        <f t="shared" si="33"/>
        <v>3.1416002505975871E-2</v>
      </c>
    </row>
    <row r="72" spans="1:23" ht="14.25" x14ac:dyDescent="0.4">
      <c r="A72" s="1" t="str">
        <f>[1]!to_tradecode(B72)</f>
        <v>002839</v>
      </c>
      <c r="B72" s="1" t="s">
        <v>37</v>
      </c>
      <c r="C72" s="9">
        <f>[1]!s_stmnote_bank(A72,"31",$A$46,100000000)</f>
        <v>432.94372017239999</v>
      </c>
      <c r="D72" s="9">
        <f>[1]!s_stmnote_bank(A72,"34",$A$46,100000000)</f>
        <v>32.681458633200002</v>
      </c>
      <c r="E72" s="9">
        <f>[1]!s_stmnote_bank(A72,"37",$A$46,100000000)</f>
        <v>6.9045525099000002</v>
      </c>
      <c r="F72" s="9">
        <f>[1]!s_stmnote_bank(A72,"40",$A$46,100000000)</f>
        <v>2.1178688054000001</v>
      </c>
      <c r="G72" s="9">
        <f>[1]!s_stmnote_bank(A72,"43",$A$46,100000000)</f>
        <v>0.33062362750000002</v>
      </c>
      <c r="H72" s="9">
        <f>[1]!s_stmnote_bank_1n(A72,$A$46,1,100000000)</f>
        <v>474.97822374839996</v>
      </c>
      <c r="I72" s="9">
        <f t="shared" si="32"/>
        <v>0</v>
      </c>
      <c r="J72" s="9"/>
      <c r="K72" s="10">
        <f t="shared" si="26"/>
        <v>0.91150225110474536</v>
      </c>
      <c r="L72" s="10">
        <f t="shared" si="27"/>
        <v>6.8806225210256478E-2</v>
      </c>
      <c r="M72" s="10">
        <f t="shared" si="28"/>
        <v>1.4536566445954375E-2</v>
      </c>
      <c r="N72" s="10">
        <f t="shared" si="29"/>
        <v>4.4588755852559957E-3</v>
      </c>
      <c r="O72" s="10">
        <f t="shared" si="30"/>
        <v>6.9608165378784643E-4</v>
      </c>
      <c r="P72" s="3">
        <f t="shared" si="31"/>
        <v>1</v>
      </c>
      <c r="Q72" s="9">
        <f>[1]!s_stm07_is(A72,"W30028333",A$46,1,100000000)*2</f>
        <v>7.0349092029999998</v>
      </c>
      <c r="R72" s="4">
        <f>[1]!s_stmnote_bank_22n(A72,$A$46,1,100000000)</f>
        <v>17.365391946300001</v>
      </c>
      <c r="S72" s="4">
        <f>[1]!s_stmnote_bank_1n(A72,$A$46,1,100000000)</f>
        <v>474.97822374839996</v>
      </c>
      <c r="T72" s="10">
        <f t="shared" si="33"/>
        <v>3.6560395988803472E-2</v>
      </c>
    </row>
  </sheetData>
  <mergeCells count="13">
    <mergeCell ref="A21:A28"/>
    <mergeCell ref="A29:A35"/>
    <mergeCell ref="A36:A40"/>
    <mergeCell ref="U14:U15"/>
    <mergeCell ref="V14:V15"/>
    <mergeCell ref="E14:I14"/>
    <mergeCell ref="K14:O14"/>
    <mergeCell ref="AB19:AI19"/>
    <mergeCell ref="Z19:Z20"/>
    <mergeCell ref="AA19:AA20"/>
    <mergeCell ref="A1:B2"/>
    <mergeCell ref="A16:A20"/>
    <mergeCell ref="A10:M13"/>
  </mergeCells>
  <phoneticPr fontId="1" type="noConversion"/>
  <conditionalFormatting sqref="AB21:AI25">
    <cfRule type="cellIs" dxfId="0" priority="1" operator="lessThan">
      <formula>0</formula>
    </cfRule>
  </conditionalFormatting>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71"/>
  <sheetViews>
    <sheetView showGridLines="0" topLeftCell="B16" workbookViewId="0">
      <selection activeCell="N27" sqref="N27"/>
    </sheetView>
  </sheetViews>
  <sheetFormatPr defaultColWidth="9" defaultRowHeight="13.9" x14ac:dyDescent="0.4"/>
  <cols>
    <col min="1" max="1" width="12.265625" style="17" customWidth="1"/>
    <col min="2" max="2" width="10.3984375" style="17" bestFit="1" customWidth="1"/>
    <col min="3" max="3" width="11.1328125" style="17" customWidth="1"/>
    <col min="4" max="4" width="16.3984375" style="17" customWidth="1"/>
    <col min="5" max="5" width="16.59765625" style="17" bestFit="1" customWidth="1"/>
    <col min="6" max="6" width="11.3984375" style="17" bestFit="1" customWidth="1"/>
    <col min="7" max="7" width="12.46484375" style="17" bestFit="1" customWidth="1"/>
    <col min="8" max="8" width="12.59765625" style="17" customWidth="1"/>
    <col min="9" max="9" width="9.46484375" style="17" bestFit="1" customWidth="1"/>
    <col min="10" max="10" width="11.86328125" style="17" customWidth="1"/>
    <col min="11" max="11" width="10.73046875" style="18" customWidth="1"/>
    <col min="12" max="12" width="11.59765625" style="17" bestFit="1" customWidth="1"/>
    <col min="13" max="13" width="12.59765625" style="17" customWidth="1"/>
    <col min="14" max="14" width="9.265625" style="18" bestFit="1" customWidth="1"/>
    <col min="15" max="15" width="9.265625" style="17" bestFit="1" customWidth="1"/>
    <col min="16" max="16" width="13.59765625" style="17" bestFit="1" customWidth="1"/>
    <col min="17" max="17" width="9.265625" style="17" bestFit="1" customWidth="1"/>
    <col min="18" max="18" width="9.59765625" style="17" bestFit="1" customWidth="1"/>
    <col min="19" max="19" width="14.3984375" style="17" customWidth="1"/>
    <col min="20" max="20" width="17.46484375" style="17" customWidth="1"/>
    <col min="21" max="21" width="10.265625" style="17" bestFit="1" customWidth="1"/>
    <col min="22" max="22" width="18.46484375" style="17" bestFit="1" customWidth="1"/>
    <col min="23" max="23" width="9.265625" style="18" bestFit="1" customWidth="1"/>
    <col min="24" max="16384" width="9" style="17"/>
  </cols>
  <sheetData>
    <row r="1" spans="1:23" ht="14.25" x14ac:dyDescent="0.4">
      <c r="A1" s="17" t="s">
        <v>73</v>
      </c>
    </row>
    <row r="3" spans="1:23" s="40" customFormat="1" x14ac:dyDescent="0.4">
      <c r="A3" s="38" t="s">
        <v>74</v>
      </c>
      <c r="B3" s="39">
        <f>B9</f>
        <v>1645.73</v>
      </c>
      <c r="D3" s="41" t="s">
        <v>75</v>
      </c>
      <c r="E3" s="40">
        <f>E10</f>
        <v>556.53</v>
      </c>
      <c r="G3" s="41" t="s">
        <v>76</v>
      </c>
      <c r="H3" s="40">
        <f>H15-SUM(H7:H9,H11:H13)</f>
        <v>550.41999999999916</v>
      </c>
      <c r="J3" s="41" t="s">
        <v>77</v>
      </c>
      <c r="K3" s="39">
        <f>K14</f>
        <v>99.77</v>
      </c>
      <c r="M3" s="41" t="s">
        <v>78</v>
      </c>
      <c r="N3" s="39">
        <f>N10</f>
        <v>2787.16</v>
      </c>
      <c r="W3" s="39"/>
    </row>
    <row r="4" spans="1:23" x14ac:dyDescent="0.4">
      <c r="A4" s="17" t="str">
        <f>[1]!to_tradecode(A3)</f>
        <v>601398</v>
      </c>
      <c r="B4" s="18"/>
      <c r="D4" s="17" t="str">
        <f>[1]!to_tradecode(D3)</f>
        <v>601939</v>
      </c>
      <c r="G4" s="17" t="str">
        <f>[1]!to_tradecode(G3)</f>
        <v>601288</v>
      </c>
      <c r="J4" s="17" t="str">
        <f>[1]!to_tradecode(J3)</f>
        <v>601988</v>
      </c>
      <c r="M4" s="17" t="str">
        <f>[1]!to_tradecode(M3)</f>
        <v>601328</v>
      </c>
    </row>
    <row r="5" spans="1:23" x14ac:dyDescent="0.4">
      <c r="A5" s="21" t="s">
        <v>79</v>
      </c>
      <c r="B5" s="22"/>
      <c r="D5" s="21" t="s">
        <v>80</v>
      </c>
      <c r="E5" s="21"/>
      <c r="G5" s="21" t="s">
        <v>79</v>
      </c>
      <c r="H5" s="21"/>
      <c r="J5" s="21" t="s">
        <v>79</v>
      </c>
      <c r="K5" s="22"/>
      <c r="M5" s="21" t="s">
        <v>81</v>
      </c>
      <c r="N5" s="22"/>
    </row>
    <row r="6" spans="1:23" x14ac:dyDescent="0.4">
      <c r="A6" s="21"/>
      <c r="B6" s="22"/>
      <c r="D6" s="21"/>
      <c r="E6" s="21"/>
      <c r="G6" s="21"/>
      <c r="H6" s="21"/>
      <c r="J6" s="21"/>
      <c r="K6" s="22"/>
      <c r="M6" s="21"/>
      <c r="N6" s="22"/>
    </row>
    <row r="7" spans="1:23" x14ac:dyDescent="0.4">
      <c r="A7" s="23" t="s">
        <v>82</v>
      </c>
      <c r="B7" s="24">
        <v>942.49</v>
      </c>
      <c r="D7" s="23" t="s">
        <v>83</v>
      </c>
      <c r="E7" s="19">
        <v>3362.88</v>
      </c>
      <c r="G7" s="23" t="s">
        <v>84</v>
      </c>
      <c r="H7" s="25">
        <v>2720.23</v>
      </c>
      <c r="J7" s="23" t="s">
        <v>85</v>
      </c>
      <c r="K7" s="24">
        <f>1921.91+6.77</f>
        <v>1928.68</v>
      </c>
      <c r="M7" s="23" t="s">
        <v>83</v>
      </c>
      <c r="N7" s="36">
        <v>985.19</v>
      </c>
    </row>
    <row r="8" spans="1:23" x14ac:dyDescent="0.4">
      <c r="A8" s="23" t="s">
        <v>86</v>
      </c>
      <c r="B8" s="24">
        <v>850</v>
      </c>
      <c r="D8" s="23" t="s">
        <v>87</v>
      </c>
      <c r="E8" s="19">
        <v>491.78</v>
      </c>
      <c r="G8" s="23" t="s">
        <v>88</v>
      </c>
      <c r="H8" s="25">
        <v>933</v>
      </c>
      <c r="J8" s="23" t="s">
        <v>89</v>
      </c>
      <c r="K8" s="24">
        <f>100.24</f>
        <v>100.24</v>
      </c>
      <c r="M8" s="23" t="s">
        <v>90</v>
      </c>
      <c r="N8" s="36">
        <v>150.49</v>
      </c>
    </row>
    <row r="9" spans="1:23" x14ac:dyDescent="0.4">
      <c r="A9" s="21" t="s">
        <v>91</v>
      </c>
      <c r="B9" s="22">
        <v>1645.73</v>
      </c>
      <c r="D9" s="23" t="s">
        <v>92</v>
      </c>
      <c r="E9" s="19">
        <v>345.86</v>
      </c>
      <c r="G9" s="23" t="s">
        <v>83</v>
      </c>
      <c r="H9" s="25">
        <v>1557.88</v>
      </c>
      <c r="J9" s="23" t="s">
        <v>93</v>
      </c>
      <c r="K9" s="24">
        <v>15</v>
      </c>
      <c r="M9" s="23" t="s">
        <v>94</v>
      </c>
      <c r="N9" s="36">
        <v>208</v>
      </c>
    </row>
    <row r="10" spans="1:23" x14ac:dyDescent="0.4">
      <c r="A10" s="21" t="s">
        <v>95</v>
      </c>
      <c r="B10" s="22">
        <f>SUM(B7:B9)</f>
        <v>3438.2200000000003</v>
      </c>
      <c r="D10" s="21" t="s">
        <v>91</v>
      </c>
      <c r="E10" s="18">
        <v>556.53</v>
      </c>
      <c r="G10" s="21" t="s">
        <v>96</v>
      </c>
      <c r="H10" s="20">
        <v>299.98</v>
      </c>
      <c r="J10" s="23" t="s">
        <v>90</v>
      </c>
      <c r="K10" s="24">
        <f>360.38+1.32</f>
        <v>361.7</v>
      </c>
      <c r="M10" s="21" t="s">
        <v>97</v>
      </c>
      <c r="N10" s="37">
        <v>2787.16</v>
      </c>
    </row>
    <row r="11" spans="1:23" x14ac:dyDescent="0.4">
      <c r="B11" s="18"/>
      <c r="D11" s="21" t="s">
        <v>95</v>
      </c>
      <c r="E11" s="22">
        <f>SUM(E7:E10)</f>
        <v>4757.0499999999993</v>
      </c>
      <c r="G11" s="23" t="s">
        <v>90</v>
      </c>
      <c r="H11" s="25">
        <v>788.33</v>
      </c>
      <c r="J11" s="23" t="s">
        <v>98</v>
      </c>
      <c r="K11" s="24">
        <f>65.28+13.61</f>
        <v>78.89</v>
      </c>
      <c r="M11" s="21" t="s">
        <v>99</v>
      </c>
      <c r="N11" s="22">
        <f>SUM(N7:N10)</f>
        <v>4130.84</v>
      </c>
    </row>
    <row r="12" spans="1:23" x14ac:dyDescent="0.4">
      <c r="A12" s="109">
        <v>42916</v>
      </c>
      <c r="D12" s="21" t="s">
        <v>100</v>
      </c>
      <c r="E12" s="26">
        <v>17.059999999999999</v>
      </c>
      <c r="G12" s="23" t="s">
        <v>92</v>
      </c>
      <c r="H12" s="25">
        <v>196.33</v>
      </c>
      <c r="J12" s="23" t="s">
        <v>101</v>
      </c>
      <c r="K12" s="24">
        <v>1600</v>
      </c>
      <c r="M12" s="21" t="s">
        <v>102</v>
      </c>
      <c r="N12" s="22">
        <v>26.55</v>
      </c>
    </row>
    <row r="13" spans="1:23" x14ac:dyDescent="0.4">
      <c r="E13" s="18">
        <f>E11-E12</f>
        <v>4739.9899999999989</v>
      </c>
      <c r="G13" s="23" t="s">
        <v>103</v>
      </c>
      <c r="H13" s="25">
        <v>32.619999999999997</v>
      </c>
      <c r="J13" s="21" t="s">
        <v>104</v>
      </c>
      <c r="K13" s="22">
        <f>SUM(K7:K12)</f>
        <v>4084.5099999999998</v>
      </c>
      <c r="N13" s="18">
        <f>N11-N12</f>
        <v>4104.29</v>
      </c>
    </row>
    <row r="14" spans="1:23" x14ac:dyDescent="0.4">
      <c r="G14" s="21" t="s">
        <v>91</v>
      </c>
      <c r="H14" s="20">
        <v>250.44</v>
      </c>
      <c r="J14" s="21" t="s">
        <v>105</v>
      </c>
      <c r="K14" s="22">
        <v>99.77</v>
      </c>
    </row>
    <row r="15" spans="1:23" x14ac:dyDescent="0.4">
      <c r="G15" s="21" t="s">
        <v>99</v>
      </c>
      <c r="H15" s="22">
        <f>SUM(H7:H14)</f>
        <v>6778.8099999999995</v>
      </c>
      <c r="J15" s="21" t="s">
        <v>102</v>
      </c>
      <c r="K15" s="22">
        <v>24.59</v>
      </c>
    </row>
    <row r="16" spans="1:23" x14ac:dyDescent="0.4">
      <c r="A16" s="17" t="s">
        <v>53</v>
      </c>
      <c r="B16" s="17">
        <f>[1]!s_stm07_bs(A4,"155",$A$12,1,100000000)-B10</f>
        <v>0</v>
      </c>
      <c r="D16" s="17" t="s">
        <v>53</v>
      </c>
      <c r="E16" s="17">
        <f>[1]!s_stm07_bs(D4,"155",$A$12,1,100000000)-E13</f>
        <v>0</v>
      </c>
      <c r="G16" s="21" t="s">
        <v>102</v>
      </c>
      <c r="H16" s="35">
        <v>48.9</v>
      </c>
      <c r="K16" s="18">
        <f>K13+K14-K15</f>
        <v>4159.6899999999996</v>
      </c>
      <c r="M16" s="17" t="s">
        <v>53</v>
      </c>
      <c r="N16" s="18">
        <f>[1]!s_stm07_bs(M4,"155",$A$12,1,100000000)-N13</f>
        <v>0</v>
      </c>
    </row>
    <row r="17" spans="1:23" x14ac:dyDescent="0.4">
      <c r="B17" s="18"/>
      <c r="H17" s="17">
        <f>H15-H16</f>
        <v>6729.91</v>
      </c>
    </row>
    <row r="18" spans="1:23" x14ac:dyDescent="0.4">
      <c r="B18" s="18"/>
      <c r="G18" s="17" t="s">
        <v>53</v>
      </c>
      <c r="H18" s="17">
        <f>[1]!s_stm07_bs(G4,"155",$A$12,1,100000000)-H17</f>
        <v>0</v>
      </c>
      <c r="J18" s="17" t="s">
        <v>53</v>
      </c>
      <c r="K18" s="17">
        <f>[1]!s_stm07_bs(J4,"155",$A$12,1,100000000)-K16</f>
        <v>0</v>
      </c>
    </row>
    <row r="20" spans="1:23" ht="14.25" x14ac:dyDescent="0.4">
      <c r="A20" s="17" t="s">
        <v>106</v>
      </c>
    </row>
    <row r="21" spans="1:23" x14ac:dyDescent="0.4">
      <c r="A21" s="41" t="s">
        <v>107</v>
      </c>
      <c r="B21" s="17">
        <f>B32</f>
        <v>2838.41</v>
      </c>
      <c r="D21" s="41" t="s">
        <v>108</v>
      </c>
      <c r="E21" s="17">
        <f>E26</f>
        <v>3028.13</v>
      </c>
      <c r="G21" s="27" t="s">
        <v>109</v>
      </c>
      <c r="H21" s="17">
        <f>H29+H31</f>
        <v>6619.7</v>
      </c>
      <c r="J21" s="41" t="s">
        <v>110</v>
      </c>
      <c r="K21" s="18">
        <f>K31-K25-K27-K28-K26</f>
        <v>9134.35</v>
      </c>
      <c r="M21" s="41" t="s">
        <v>111</v>
      </c>
      <c r="N21" s="18">
        <f>N28-N25</f>
        <v>4923.58</v>
      </c>
      <c r="P21" s="41" t="s">
        <v>112</v>
      </c>
      <c r="Q21" s="17">
        <f>Q30-Q25-Q26-Q27</f>
        <v>1741.3199999999997</v>
      </c>
      <c r="S21" s="41" t="s">
        <v>113</v>
      </c>
      <c r="T21" s="17">
        <f>T30</f>
        <v>9212.0499999999993</v>
      </c>
      <c r="V21" s="41" t="s">
        <v>114</v>
      </c>
      <c r="W21" s="18">
        <f>W31-W28-W30-W29-W25</f>
        <v>3659.8799999999997</v>
      </c>
    </row>
    <row r="22" spans="1:23" x14ac:dyDescent="0.4">
      <c r="A22" s="17" t="str">
        <f>[1]!to_tradecode(A21)</f>
        <v>600036</v>
      </c>
      <c r="B22" s="10">
        <f>B21/SUM(B30:B34)</f>
        <v>0.50264034000354163</v>
      </c>
      <c r="D22" s="17" t="str">
        <f>[1]!to_tradecode(D21)</f>
        <v>601998</v>
      </c>
      <c r="E22" s="10">
        <f>E21/SUM(E31,E33)</f>
        <v>0.65665463140660751</v>
      </c>
      <c r="G22" s="17" t="str">
        <f>[1]!to_tradecode(G21)</f>
        <v>600000</v>
      </c>
      <c r="J22" s="17" t="str">
        <f>[1]!to_tradecode(J21)</f>
        <v>600016</v>
      </c>
      <c r="M22" s="17" t="str">
        <f>[1]!to_tradecode(M21)</f>
        <v>601818</v>
      </c>
      <c r="P22" s="17" t="str">
        <f>[1]!to_tradecode(P21)</f>
        <v>600015</v>
      </c>
      <c r="S22" s="17" t="str">
        <f>[1]!to_tradecode(S21)</f>
        <v>601166</v>
      </c>
      <c r="T22" s="10">
        <f>T21/T29</f>
        <v>0.65747899711444502</v>
      </c>
      <c r="V22" s="17" t="str">
        <f>[1]!to_tradecode(V21)</f>
        <v>000001</v>
      </c>
    </row>
    <row r="23" spans="1:23" x14ac:dyDescent="0.4">
      <c r="A23" s="21" t="s">
        <v>80</v>
      </c>
      <c r="B23" s="21"/>
      <c r="D23" s="21" t="s">
        <v>79</v>
      </c>
      <c r="E23" s="21"/>
      <c r="G23" s="21" t="s">
        <v>79</v>
      </c>
      <c r="H23" s="21"/>
      <c r="J23" s="21" t="s">
        <v>79</v>
      </c>
      <c r="K23" s="22"/>
      <c r="M23" s="21" t="s">
        <v>79</v>
      </c>
      <c r="N23" s="22"/>
      <c r="P23" s="21" t="s">
        <v>80</v>
      </c>
      <c r="Q23" s="21"/>
      <c r="S23" s="21" t="s">
        <v>79</v>
      </c>
      <c r="T23" s="21"/>
      <c r="V23" s="21" t="s">
        <v>115</v>
      </c>
      <c r="W23" s="22"/>
    </row>
    <row r="24" spans="1:23" x14ac:dyDescent="0.4">
      <c r="A24" s="21"/>
      <c r="B24" s="21"/>
      <c r="D24" s="21" t="s">
        <v>116</v>
      </c>
      <c r="G24" s="21"/>
      <c r="H24" s="21"/>
      <c r="J24" s="21"/>
      <c r="K24" s="22"/>
      <c r="M24" s="21"/>
      <c r="N24" s="22"/>
      <c r="P24" s="21"/>
      <c r="Q24" s="21"/>
      <c r="S24" s="21"/>
      <c r="T24" s="21"/>
      <c r="V24" s="21"/>
      <c r="W24" s="22"/>
    </row>
    <row r="25" spans="1:23" x14ac:dyDescent="0.4">
      <c r="A25" s="23" t="s">
        <v>83</v>
      </c>
      <c r="B25" s="24">
        <v>7.96</v>
      </c>
      <c r="D25" s="23" t="s">
        <v>117</v>
      </c>
      <c r="E25" s="25">
        <v>4252.96</v>
      </c>
      <c r="G25" s="23" t="s">
        <v>85</v>
      </c>
      <c r="H25" s="25">
        <v>779.58</v>
      </c>
      <c r="J25" s="23" t="s">
        <v>83</v>
      </c>
      <c r="K25" s="24">
        <v>573.97</v>
      </c>
      <c r="M25" s="23" t="s">
        <v>118</v>
      </c>
      <c r="N25" s="24">
        <v>242.36</v>
      </c>
      <c r="P25" s="23" t="s">
        <v>85</v>
      </c>
      <c r="Q25" s="24">
        <v>1.78</v>
      </c>
      <c r="S25" s="23" t="s">
        <v>83</v>
      </c>
      <c r="T25" s="28">
        <v>3771.1</v>
      </c>
      <c r="V25" s="23" t="s">
        <v>119</v>
      </c>
      <c r="W25" s="24">
        <v>444.6</v>
      </c>
    </row>
    <row r="26" spans="1:23" x14ac:dyDescent="0.4">
      <c r="A26" s="23" t="s">
        <v>90</v>
      </c>
      <c r="B26" s="24">
        <v>43.65</v>
      </c>
      <c r="D26" s="21" t="s">
        <v>120</v>
      </c>
      <c r="E26" s="43">
        <v>3028.13</v>
      </c>
      <c r="G26" s="23" t="s">
        <v>121</v>
      </c>
      <c r="H26" s="25">
        <v>102.36</v>
      </c>
      <c r="J26" s="23" t="s">
        <v>93</v>
      </c>
      <c r="K26" s="24">
        <v>5</v>
      </c>
      <c r="M26" s="21" t="s">
        <v>122</v>
      </c>
      <c r="N26" s="22">
        <v>4900.32</v>
      </c>
      <c r="P26" s="23" t="s">
        <v>90</v>
      </c>
      <c r="Q26" s="24">
        <v>10</v>
      </c>
      <c r="S26" s="23" t="s">
        <v>90</v>
      </c>
      <c r="T26" s="28">
        <v>156.83000000000001</v>
      </c>
      <c r="V26" s="21" t="s">
        <v>123</v>
      </c>
      <c r="W26" s="22">
        <v>3331.29</v>
      </c>
    </row>
    <row r="27" spans="1:23" x14ac:dyDescent="0.4">
      <c r="A27" s="23" t="s">
        <v>124</v>
      </c>
      <c r="B27" s="24">
        <v>133.15</v>
      </c>
      <c r="D27" s="23" t="s">
        <v>125</v>
      </c>
      <c r="E27" s="25">
        <v>1157.8599999999999</v>
      </c>
      <c r="G27" s="23" t="s">
        <v>126</v>
      </c>
      <c r="H27" s="25">
        <v>214.13</v>
      </c>
      <c r="J27" s="23" t="s">
        <v>121</v>
      </c>
      <c r="K27" s="24">
        <f>3.43+127.49+37.68</f>
        <v>168.6</v>
      </c>
      <c r="M27" s="21" t="s">
        <v>127</v>
      </c>
      <c r="N27" s="22">
        <v>23.26</v>
      </c>
      <c r="P27" s="23" t="s">
        <v>128</v>
      </c>
      <c r="Q27" s="24">
        <v>307</v>
      </c>
      <c r="S27" s="23" t="s">
        <v>129</v>
      </c>
      <c r="T27" s="28">
        <v>381.57</v>
      </c>
      <c r="V27" s="21" t="s">
        <v>130</v>
      </c>
      <c r="W27" s="22">
        <v>328.59</v>
      </c>
    </row>
    <row r="28" spans="1:23" x14ac:dyDescent="0.4">
      <c r="A28" s="23" t="s">
        <v>131</v>
      </c>
      <c r="B28" s="24">
        <v>35</v>
      </c>
      <c r="D28" s="21" t="s">
        <v>99</v>
      </c>
      <c r="E28" s="22">
        <f>SUM(E25:E27)</f>
        <v>8438.9500000000007</v>
      </c>
      <c r="G28" s="23" t="s">
        <v>132</v>
      </c>
      <c r="H28" s="25">
        <v>39.07</v>
      </c>
      <c r="J28" s="23" t="s">
        <v>92</v>
      </c>
      <c r="K28" s="24">
        <f>2.01+75.21+255.22</f>
        <v>332.44</v>
      </c>
      <c r="M28" s="21" t="s">
        <v>99</v>
      </c>
      <c r="N28" s="22">
        <f>SUM(N25:N27)</f>
        <v>5165.9399999999996</v>
      </c>
      <c r="P28" s="21" t="s">
        <v>133</v>
      </c>
      <c r="Q28" s="22">
        <v>392.82</v>
      </c>
      <c r="S28" s="23" t="s">
        <v>118</v>
      </c>
      <c r="T28" s="28">
        <v>1902.65</v>
      </c>
      <c r="V28" s="23" t="s">
        <v>85</v>
      </c>
      <c r="W28" s="24">
        <v>537.85</v>
      </c>
    </row>
    <row r="29" spans="1:23" ht="14.25" x14ac:dyDescent="0.4">
      <c r="A29" s="17" t="s">
        <v>134</v>
      </c>
      <c r="B29" s="17">
        <f>SUM(B30:B34)</f>
        <v>5647</v>
      </c>
      <c r="G29" s="21" t="s">
        <v>135</v>
      </c>
      <c r="H29" s="20">
        <v>6438.09</v>
      </c>
      <c r="J29" s="21" t="s">
        <v>123</v>
      </c>
      <c r="K29" s="22">
        <v>8988.49</v>
      </c>
      <c r="M29" s="21" t="s">
        <v>100</v>
      </c>
      <c r="N29" s="22">
        <v>20.92</v>
      </c>
      <c r="P29" s="21" t="s">
        <v>123</v>
      </c>
      <c r="Q29" s="22">
        <v>1348.5</v>
      </c>
      <c r="S29" s="21" t="s">
        <v>136</v>
      </c>
      <c r="T29" s="28">
        <v>14011.17</v>
      </c>
      <c r="V29" s="23" t="s">
        <v>137</v>
      </c>
      <c r="W29" s="24">
        <v>25.49</v>
      </c>
    </row>
    <row r="30" spans="1:23" x14ac:dyDescent="0.4">
      <c r="A30" s="36" t="s">
        <v>137</v>
      </c>
      <c r="B30" s="36">
        <v>2585.4299999999998</v>
      </c>
      <c r="D30" s="21" t="s">
        <v>138</v>
      </c>
      <c r="E30" s="21"/>
      <c r="G30" s="23" t="s">
        <v>128</v>
      </c>
      <c r="H30" s="25">
        <v>137.4</v>
      </c>
      <c r="J30" s="21" t="s">
        <v>130</v>
      </c>
      <c r="K30" s="22">
        <v>145.86000000000001</v>
      </c>
      <c r="N30" s="18">
        <f>N28-N29</f>
        <v>5145.0199999999995</v>
      </c>
      <c r="P30" s="21" t="s">
        <v>99</v>
      </c>
      <c r="Q30" s="22">
        <f>SUM(Q25:Q29)</f>
        <v>2060.1</v>
      </c>
      <c r="S30" s="22" t="s">
        <v>139</v>
      </c>
      <c r="T30" s="17">
        <v>9212.0499999999993</v>
      </c>
      <c r="V30" s="23" t="s">
        <v>140</v>
      </c>
      <c r="W30" s="24">
        <v>0.25</v>
      </c>
    </row>
    <row r="31" spans="1:23" ht="14.25" x14ac:dyDescent="0.4">
      <c r="A31" s="36" t="s">
        <v>119</v>
      </c>
      <c r="B31" s="36">
        <v>210.16</v>
      </c>
      <c r="D31" s="17" t="s">
        <v>141</v>
      </c>
      <c r="E31" s="17">
        <v>3412.7</v>
      </c>
      <c r="G31" s="21" t="s">
        <v>91</v>
      </c>
      <c r="H31" s="20">
        <v>181.61</v>
      </c>
      <c r="J31" s="21" t="s">
        <v>99</v>
      </c>
      <c r="K31" s="22">
        <f>SUM(K25:K30)</f>
        <v>10214.36</v>
      </c>
      <c r="P31" s="21" t="s">
        <v>100</v>
      </c>
      <c r="Q31" s="22">
        <v>14.73</v>
      </c>
      <c r="S31" s="22" t="s">
        <v>142</v>
      </c>
      <c r="T31" s="17">
        <v>2327.2800000000002</v>
      </c>
      <c r="V31" s="21" t="s">
        <v>95</v>
      </c>
      <c r="W31" s="22">
        <f>SUM(W25:W30)</f>
        <v>4668.07</v>
      </c>
    </row>
    <row r="32" spans="1:23" ht="14.25" x14ac:dyDescent="0.4">
      <c r="A32" s="65" t="s">
        <v>143</v>
      </c>
      <c r="B32" s="65">
        <v>2838.41</v>
      </c>
      <c r="D32" s="17" t="s">
        <v>144</v>
      </c>
      <c r="E32" s="17">
        <v>3827.5</v>
      </c>
      <c r="G32" s="21" t="s">
        <v>99</v>
      </c>
      <c r="H32" s="22">
        <f>SUM(H25:H31)</f>
        <v>7892.24</v>
      </c>
      <c r="J32" s="21" t="s">
        <v>100</v>
      </c>
      <c r="K32" s="22">
        <v>20.32</v>
      </c>
      <c r="M32" s="17" t="s">
        <v>55</v>
      </c>
      <c r="N32" s="17">
        <f>[1]!s_stm07_bs(M22,"155",$A$12,1,100000000)-N30</f>
        <v>0</v>
      </c>
      <c r="Q32" s="18">
        <f>Q30-Q31</f>
        <v>2045.37</v>
      </c>
      <c r="S32" s="22" t="s">
        <v>82</v>
      </c>
      <c r="T32" s="17">
        <v>1649.79</v>
      </c>
      <c r="V32" s="21" t="s">
        <v>100</v>
      </c>
      <c r="W32" s="22">
        <v>23.55</v>
      </c>
    </row>
    <row r="33" spans="1:23" ht="14.25" x14ac:dyDescent="0.4">
      <c r="A33" s="36" t="s">
        <v>145</v>
      </c>
      <c r="B33" s="36">
        <v>13</v>
      </c>
      <c r="D33" s="17" t="s">
        <v>146</v>
      </c>
      <c r="E33" s="17">
        <v>1198.75</v>
      </c>
      <c r="G33" s="21" t="s">
        <v>100</v>
      </c>
      <c r="H33" s="20">
        <v>65.2</v>
      </c>
      <c r="K33" s="18">
        <f>K31-K32</f>
        <v>10194.040000000001</v>
      </c>
      <c r="S33" s="22" t="s">
        <v>145</v>
      </c>
      <c r="T33" s="17">
        <v>515.87</v>
      </c>
      <c r="W33" s="18">
        <f>W31-W32</f>
        <v>4644.5199999999995</v>
      </c>
    </row>
    <row r="34" spans="1:23" x14ac:dyDescent="0.4">
      <c r="A34" s="65" t="s">
        <v>147</v>
      </c>
      <c r="B34" s="65" t="s">
        <v>54</v>
      </c>
      <c r="D34" s="21" t="s">
        <v>99</v>
      </c>
      <c r="E34" s="17">
        <f>SUM(E31:E33)</f>
        <v>8438.9500000000007</v>
      </c>
      <c r="H34" s="17">
        <f>H32-H33</f>
        <v>7827.04</v>
      </c>
      <c r="J34" s="17" t="s">
        <v>53</v>
      </c>
      <c r="K34" s="17">
        <f>[1]!s_stm07_bs(J22,"155",$A$12,1,100000000)-K33</f>
        <v>0</v>
      </c>
      <c r="P34" s="17" t="s">
        <v>55</v>
      </c>
      <c r="Q34" s="17">
        <f>[1]!s_stm07_bs(P22,"155",$A$12,1,100000000)-Q32</f>
        <v>0</v>
      </c>
      <c r="S34" s="22" t="s">
        <v>148</v>
      </c>
      <c r="T34" s="17">
        <v>205.76</v>
      </c>
    </row>
    <row r="35" spans="1:23" x14ac:dyDescent="0.4">
      <c r="A35" s="21" t="s">
        <v>99</v>
      </c>
      <c r="B35" s="22">
        <f>SUM(B25:B29)</f>
        <v>5866.76</v>
      </c>
      <c r="D35" s="21" t="s">
        <v>100</v>
      </c>
      <c r="E35" s="22">
        <v>25.36</v>
      </c>
      <c r="G35" s="17" t="s">
        <v>53</v>
      </c>
      <c r="H35" s="17">
        <f>[1]!s_stm07_bs(G22,"155",$A$12,1,100000000)-H34</f>
        <v>0</v>
      </c>
      <c r="S35" s="22" t="s">
        <v>91</v>
      </c>
      <c r="T35" s="17">
        <v>100.42</v>
      </c>
      <c r="V35" s="17" t="s">
        <v>55</v>
      </c>
      <c r="W35" s="17">
        <f>[1]!s_stm07_bs(V22,"155",$A$12,1,100000000)-W33</f>
        <v>0</v>
      </c>
    </row>
    <row r="36" spans="1:23" x14ac:dyDescent="0.4">
      <c r="A36" s="21" t="s">
        <v>100</v>
      </c>
      <c r="B36" s="22">
        <v>43.06</v>
      </c>
      <c r="E36" s="18">
        <f>E28-E35</f>
        <v>8413.59</v>
      </c>
      <c r="S36" s="21" t="s">
        <v>99</v>
      </c>
      <c r="T36" s="22">
        <f>SUM(T25:T29)</f>
        <v>20223.32</v>
      </c>
    </row>
    <row r="37" spans="1:23" x14ac:dyDescent="0.4">
      <c r="B37" s="42">
        <f>B35-B36</f>
        <v>5823.7</v>
      </c>
      <c r="D37" s="17" t="s">
        <v>53</v>
      </c>
      <c r="E37" s="17">
        <f>[1]!s_stm07_bs(D22,"155",$A$12,1,100000000)-E36</f>
        <v>0</v>
      </c>
      <c r="S37" s="21" t="s">
        <v>102</v>
      </c>
      <c r="T37" s="22">
        <v>159.46</v>
      </c>
    </row>
    <row r="38" spans="1:23" ht="14.25" x14ac:dyDescent="0.4">
      <c r="A38" s="17" t="s">
        <v>53</v>
      </c>
      <c r="B38" s="154">
        <f>[1]!s_stm07_bs(A22,"155",$A$12,1,100000000)-B37</f>
        <v>0</v>
      </c>
      <c r="D38" s="17" t="s">
        <v>149</v>
      </c>
      <c r="S38" s="17" t="s">
        <v>55</v>
      </c>
      <c r="T38" s="17">
        <f>[1]!s_stm07_bs(S22,"155",$A$12,1,100000000)-(T36-T37)</f>
        <v>0</v>
      </c>
    </row>
    <row r="40" spans="1:23" s="5" customFormat="1" x14ac:dyDescent="0.4">
      <c r="W40" s="49"/>
    </row>
    <row r="41" spans="1:23" ht="14.25" x14ac:dyDescent="0.4">
      <c r="A41" s="41" t="s">
        <v>150</v>
      </c>
      <c r="B41" s="17">
        <f>B54-SUM(B47:B52)</f>
        <v>3320.5199999999995</v>
      </c>
      <c r="E41" s="41" t="s">
        <v>151</v>
      </c>
      <c r="F41" s="49">
        <f>F48-F46</f>
        <v>2379.6147000000001</v>
      </c>
      <c r="H41" s="41" t="s">
        <v>152</v>
      </c>
      <c r="I41" s="5">
        <f>I49</f>
        <v>1024.1644699999999</v>
      </c>
      <c r="K41" s="54" t="s">
        <v>153</v>
      </c>
      <c r="L41" s="17">
        <f>0</f>
        <v>0</v>
      </c>
      <c r="N41" s="54" t="s">
        <v>30</v>
      </c>
      <c r="O41" s="49">
        <f>SUM(O46:O47)</f>
        <v>763.49552000000006</v>
      </c>
      <c r="Q41" s="57" t="s">
        <v>31</v>
      </c>
      <c r="R41" s="42">
        <f>R47</f>
        <v>711.88409999999999</v>
      </c>
      <c r="T41" s="57" t="s">
        <v>29</v>
      </c>
      <c r="U41" s="49">
        <f>U51-U47-U50</f>
        <v>1448.6943999999999</v>
      </c>
    </row>
    <row r="42" spans="1:23" x14ac:dyDescent="0.4">
      <c r="A42" s="17" t="str">
        <f>[1]!to_tradecode(A41)</f>
        <v>601169</v>
      </c>
      <c r="E42" s="17" t="str">
        <f>[1]!to_tradecode(E41)</f>
        <v>601009</v>
      </c>
      <c r="F42" s="49"/>
      <c r="H42" s="17" t="str">
        <f>[1]!to_tradecode(H41)</f>
        <v>002142</v>
      </c>
      <c r="I42" s="5"/>
      <c r="K42" s="18" t="str">
        <f>[1]!to_tradecode(K41)</f>
        <v>600919</v>
      </c>
      <c r="N42" s="18" t="str">
        <f>[1]!to_tradecode(N41)</f>
        <v>601997</v>
      </c>
      <c r="O42" s="49"/>
      <c r="Q42" s="17" t="str">
        <f>[1]!to_tradecode(Q41)</f>
        <v>600926</v>
      </c>
      <c r="R42" s="42"/>
      <c r="T42" s="17" t="str">
        <f>[1]!to_tradecode(T41)</f>
        <v>601229</v>
      </c>
      <c r="U42" s="49"/>
    </row>
    <row r="43" spans="1:23" x14ac:dyDescent="0.4">
      <c r="F43" s="49"/>
      <c r="I43" s="5"/>
      <c r="O43" s="49"/>
      <c r="R43" s="42"/>
      <c r="U43" s="49"/>
    </row>
    <row r="44" spans="1:23" ht="14.25" x14ac:dyDescent="0.4">
      <c r="A44" s="21" t="s">
        <v>79</v>
      </c>
      <c r="B44" s="21"/>
      <c r="E44" s="21" t="s">
        <v>154</v>
      </c>
      <c r="F44" s="50"/>
      <c r="H44" s="21" t="s">
        <v>80</v>
      </c>
      <c r="I44" s="47"/>
      <c r="K44" s="22" t="s">
        <v>79</v>
      </c>
      <c r="L44" s="21"/>
      <c r="N44" s="22" t="s">
        <v>79</v>
      </c>
      <c r="O44" s="50"/>
      <c r="Q44" s="29" t="s">
        <v>155</v>
      </c>
      <c r="R44" s="58"/>
      <c r="T44" s="29" t="s">
        <v>155</v>
      </c>
      <c r="U44" s="61"/>
    </row>
    <row r="45" spans="1:23" x14ac:dyDescent="0.4">
      <c r="A45" s="21"/>
      <c r="B45" s="21"/>
      <c r="E45" s="21"/>
      <c r="F45" s="50"/>
      <c r="H45" s="21"/>
      <c r="I45" s="47"/>
      <c r="K45" s="22"/>
      <c r="L45" s="21"/>
      <c r="N45" s="17"/>
      <c r="Q45" s="29"/>
      <c r="R45" s="58"/>
      <c r="T45" s="29"/>
      <c r="U45" s="61"/>
    </row>
    <row r="46" spans="1:23" ht="14.25" x14ac:dyDescent="0.4">
      <c r="A46" s="21" t="s">
        <v>156</v>
      </c>
      <c r="B46" s="22">
        <v>3138.33</v>
      </c>
      <c r="E46" s="23" t="s">
        <v>85</v>
      </c>
      <c r="F46" s="51">
        <v>56.03586</v>
      </c>
      <c r="H46" s="23" t="s">
        <v>85</v>
      </c>
      <c r="I46" s="53">
        <v>0.32773999999999998</v>
      </c>
      <c r="K46" s="24" t="s">
        <v>83</v>
      </c>
      <c r="L46" s="50">
        <v>92.672190000000001</v>
      </c>
      <c r="N46" s="22" t="s">
        <v>157</v>
      </c>
      <c r="O46" s="50">
        <v>759.49552000000006</v>
      </c>
      <c r="Q46" s="30" t="s">
        <v>158</v>
      </c>
      <c r="R46" s="60">
        <v>1.2493700000000001</v>
      </c>
      <c r="T46" s="29" t="s">
        <v>159</v>
      </c>
      <c r="U46" s="61"/>
    </row>
    <row r="47" spans="1:23" ht="14.25" x14ac:dyDescent="0.4">
      <c r="A47" s="99" t="s">
        <v>160</v>
      </c>
      <c r="B47" s="46">
        <v>196.85</v>
      </c>
      <c r="E47" s="21" t="s">
        <v>161</v>
      </c>
      <c r="F47" s="51">
        <v>2379.6147000000001</v>
      </c>
      <c r="H47" s="23" t="s">
        <v>162</v>
      </c>
      <c r="I47" s="53" t="s">
        <v>0</v>
      </c>
      <c r="K47" s="24" t="s">
        <v>87</v>
      </c>
      <c r="L47" s="50">
        <v>2694.3687100000002</v>
      </c>
      <c r="N47" s="22" t="s">
        <v>163</v>
      </c>
      <c r="O47" s="50">
        <v>4</v>
      </c>
      <c r="Q47" s="29" t="s">
        <v>164</v>
      </c>
      <c r="R47" s="59">
        <v>711.88409999999999</v>
      </c>
      <c r="T47" s="30" t="s">
        <v>165</v>
      </c>
      <c r="U47" s="67">
        <v>83.904269999999997</v>
      </c>
    </row>
    <row r="48" spans="1:23" ht="14.25" x14ac:dyDescent="0.4">
      <c r="A48" s="99" t="s">
        <v>166</v>
      </c>
      <c r="B48" s="46">
        <v>184.18</v>
      </c>
      <c r="E48" s="21" t="s">
        <v>167</v>
      </c>
      <c r="F48" s="50">
        <f>SUM(F46:F47)</f>
        <v>2435.65056</v>
      </c>
      <c r="H48" s="23" t="s">
        <v>126</v>
      </c>
      <c r="I48" s="53">
        <v>1.2</v>
      </c>
      <c r="K48" s="24" t="s">
        <v>168</v>
      </c>
      <c r="L48" s="50">
        <v>6</v>
      </c>
      <c r="N48" s="22"/>
      <c r="O48" s="50"/>
      <c r="Q48" s="29" t="s">
        <v>169</v>
      </c>
      <c r="R48" s="58">
        <f>SUM(R46:R47)</f>
        <v>713.13346999999999</v>
      </c>
      <c r="T48" s="29" t="s">
        <v>170</v>
      </c>
      <c r="U48" s="61">
        <v>9.1248500000000003</v>
      </c>
    </row>
    <row r="49" spans="1:21" ht="14.25" x14ac:dyDescent="0.4">
      <c r="A49" s="23" t="s">
        <v>83</v>
      </c>
      <c r="B49" s="24">
        <v>3.16</v>
      </c>
      <c r="E49" s="21" t="s">
        <v>171</v>
      </c>
      <c r="F49" s="52">
        <v>24.131910000000001</v>
      </c>
      <c r="H49" s="21" t="s">
        <v>172</v>
      </c>
      <c r="I49" s="52">
        <v>1024.1644699999999</v>
      </c>
      <c r="K49" s="22" t="s">
        <v>99</v>
      </c>
      <c r="L49" s="50">
        <f>SUM(L46:L48)</f>
        <v>2793.0409</v>
      </c>
      <c r="N49" s="22" t="s">
        <v>99</v>
      </c>
      <c r="O49" s="50">
        <f>SUM(O46:O48)</f>
        <v>763.49552000000006</v>
      </c>
      <c r="Q49" s="29" t="s">
        <v>173</v>
      </c>
      <c r="R49" s="59">
        <v>2.35</v>
      </c>
      <c r="T49" s="29" t="s">
        <v>174</v>
      </c>
      <c r="U49" s="61">
        <v>1439.5695499999999</v>
      </c>
    </row>
    <row r="50" spans="1:21" ht="14.25" x14ac:dyDescent="0.4">
      <c r="A50" s="23" t="s">
        <v>175</v>
      </c>
      <c r="B50" s="24">
        <v>6.5</v>
      </c>
      <c r="F50" s="49">
        <f>F48-F49</f>
        <v>2411.51865</v>
      </c>
      <c r="H50" s="21" t="s">
        <v>99</v>
      </c>
      <c r="I50" s="50">
        <f>SUM(I46:I49)</f>
        <v>1025.6922099999999</v>
      </c>
      <c r="K50" s="22" t="s">
        <v>102</v>
      </c>
      <c r="L50" s="55">
        <v>-24.378209999999999</v>
      </c>
      <c r="N50" s="22" t="s">
        <v>102</v>
      </c>
      <c r="O50" s="55">
        <v>-14.410450000000001</v>
      </c>
      <c r="R50" s="58">
        <f>R48-R49</f>
        <v>710.78346999999997</v>
      </c>
      <c r="T50" s="30" t="s">
        <v>176</v>
      </c>
      <c r="U50" s="67">
        <v>1</v>
      </c>
    </row>
    <row r="51" spans="1:21" ht="14.25" x14ac:dyDescent="0.4">
      <c r="A51" s="23" t="s">
        <v>177</v>
      </c>
      <c r="B51" s="24">
        <v>145.97</v>
      </c>
      <c r="F51" s="5"/>
      <c r="H51" s="21" t="s">
        <v>100</v>
      </c>
      <c r="I51" s="49">
        <v>2.4</v>
      </c>
      <c r="K51" s="22"/>
      <c r="L51" s="50">
        <f>L49+L50</f>
        <v>2768.6626900000001</v>
      </c>
      <c r="O51" s="49">
        <f>O49+O50</f>
        <v>749.08507000000009</v>
      </c>
      <c r="T51" s="29" t="s">
        <v>169</v>
      </c>
      <c r="U51" s="61">
        <f>SUM(U47:U50)</f>
        <v>1533.5986699999999</v>
      </c>
    </row>
    <row r="52" spans="1:21" ht="14.25" x14ac:dyDescent="0.4">
      <c r="A52" s="23" t="s">
        <v>92</v>
      </c>
      <c r="B52" s="24">
        <v>52.52</v>
      </c>
      <c r="E52" s="17" t="s">
        <v>57</v>
      </c>
      <c r="F52" s="5">
        <f>[1]!s_stm07_bs(E42,"155",$A$12,1,100000000)-F50</f>
        <v>0</v>
      </c>
      <c r="I52" s="49">
        <f>I50-I51</f>
        <v>1023.29221</v>
      </c>
      <c r="K52" s="22"/>
      <c r="L52" s="21"/>
      <c r="T52" s="29" t="s">
        <v>173</v>
      </c>
      <c r="U52" s="61">
        <v>67.708160000000007</v>
      </c>
    </row>
    <row r="53" spans="1:21" x14ac:dyDescent="0.4">
      <c r="A53" s="21" t="s">
        <v>91</v>
      </c>
      <c r="B53" s="22">
        <f>182.19</f>
        <v>182.19</v>
      </c>
      <c r="F53" s="5"/>
      <c r="U53" s="61">
        <f>U51-U52</f>
        <v>1465.8905099999999</v>
      </c>
    </row>
    <row r="54" spans="1:21" x14ac:dyDescent="0.4">
      <c r="A54" s="21" t="s">
        <v>99</v>
      </c>
      <c r="B54" s="22">
        <f>SUM(B46:B53)</f>
        <v>3909.6999999999994</v>
      </c>
      <c r="F54" s="5"/>
      <c r="H54" s="17" t="s">
        <v>58</v>
      </c>
      <c r="I54" s="5">
        <f>[1]!s_stm07_bs(H42,"155",$A$12,1,100000000)-I52</f>
        <v>0</v>
      </c>
      <c r="K54" s="56" t="s">
        <v>59</v>
      </c>
      <c r="L54" s="49">
        <f>[1]!s_stm07_bs(K42,"155",$A$12,1,100000000)-L51</f>
        <v>0</v>
      </c>
      <c r="N54" s="56" t="s">
        <v>59</v>
      </c>
      <c r="O54" s="49">
        <f>[1]!s_stm07_bs(N42,"155",$A$12,1,100000000)-O51</f>
        <v>0</v>
      </c>
      <c r="Q54" s="29" t="s">
        <v>1</v>
      </c>
      <c r="R54" s="5">
        <f>[1]!s_stm07_bs(Q42,"155",$A$12,1,100000000)-R50</f>
        <v>0</v>
      </c>
      <c r="T54" s="29" t="s">
        <v>1</v>
      </c>
      <c r="U54" s="5">
        <f>[1]!s_stm07_bs(T42,"155",$A$12,1,100000000)-U53</f>
        <v>0</v>
      </c>
    </row>
    <row r="55" spans="1:21" ht="14.25" x14ac:dyDescent="0.4">
      <c r="A55" s="21" t="s">
        <v>100</v>
      </c>
      <c r="B55" s="22">
        <f>-45.76-51.6</f>
        <v>-97.36</v>
      </c>
      <c r="F55" s="5"/>
      <c r="T55" s="29" t="s">
        <v>178</v>
      </c>
    </row>
    <row r="56" spans="1:21" ht="14.25" x14ac:dyDescent="0.4">
      <c r="B56" s="18">
        <f>B54+B55</f>
        <v>3812.3399999999992</v>
      </c>
      <c r="F56" s="5"/>
      <c r="T56" s="17" t="s">
        <v>179</v>
      </c>
    </row>
    <row r="57" spans="1:21" x14ac:dyDescent="0.4">
      <c r="A57" s="17" t="s">
        <v>56</v>
      </c>
      <c r="B57" s="5">
        <f>[1]!s_stm07_bs(A42,"155",$A$12,1,100000000)-B56</f>
        <v>0</v>
      </c>
      <c r="F57" s="5"/>
    </row>
    <row r="58" spans="1:21" x14ac:dyDescent="0.4">
      <c r="F58" s="5"/>
    </row>
    <row r="59" spans="1:21" x14ac:dyDescent="0.4">
      <c r="F59" s="5"/>
    </row>
    <row r="60" spans="1:21" x14ac:dyDescent="0.4">
      <c r="A60" s="63" t="s">
        <v>35</v>
      </c>
      <c r="E60" s="63" t="s">
        <v>33</v>
      </c>
      <c r="F60" s="5">
        <f>F64</f>
        <v>78.983999999999995</v>
      </c>
      <c r="H60" s="63" t="s">
        <v>34</v>
      </c>
      <c r="I60" s="49">
        <f>I65</f>
        <v>142.75730999999999</v>
      </c>
      <c r="L60" s="63" t="s">
        <v>36</v>
      </c>
      <c r="M60" s="17">
        <f>[1]!s_stm07_bs(L61,"155",$A$12,1,100000000)</f>
        <v>0</v>
      </c>
      <c r="O60" s="63" t="s">
        <v>37</v>
      </c>
      <c r="P60" s="49">
        <f>SUM(P66:P67)</f>
        <v>14.268611708700002</v>
      </c>
    </row>
    <row r="61" spans="1:21" x14ac:dyDescent="0.4">
      <c r="A61" s="17" t="str">
        <f>[1]!to_tradecode(A60)</f>
        <v>002807</v>
      </c>
      <c r="E61" s="17" t="str">
        <f>[1]!to_tradecode(E60)</f>
        <v>600908</v>
      </c>
      <c r="F61" s="5"/>
      <c r="H61" s="17" t="str">
        <f>[1]!to_tradecode(H60)</f>
        <v>601128</v>
      </c>
      <c r="I61" s="49"/>
      <c r="L61" s="17" t="str">
        <f>[1]!to_tradecode(L60)</f>
        <v>603323</v>
      </c>
      <c r="O61" s="17" t="str">
        <f>[1]!to_tradecode(O60)</f>
        <v>002839</v>
      </c>
      <c r="P61" s="49"/>
    </row>
    <row r="62" spans="1:21" x14ac:dyDescent="0.4">
      <c r="A62" s="31" t="s">
        <v>180</v>
      </c>
      <c r="B62" s="31"/>
      <c r="E62" s="31" t="s">
        <v>181</v>
      </c>
      <c r="F62" s="48"/>
      <c r="H62" s="31" t="s">
        <v>182</v>
      </c>
      <c r="I62" s="64"/>
      <c r="O62" s="31" t="s">
        <v>183</v>
      </c>
      <c r="P62" s="64"/>
    </row>
    <row r="63" spans="1:21" x14ac:dyDescent="0.4">
      <c r="A63" s="31"/>
      <c r="B63" s="31" t="s">
        <v>51</v>
      </c>
      <c r="E63" s="31"/>
      <c r="F63" s="64"/>
      <c r="H63" s="31"/>
      <c r="I63" s="64"/>
      <c r="O63" s="31"/>
      <c r="P63" s="64"/>
    </row>
    <row r="64" spans="1:21" x14ac:dyDescent="0.4">
      <c r="A64" s="31" t="s">
        <v>184</v>
      </c>
      <c r="B64" s="62">
        <v>0</v>
      </c>
      <c r="E64" s="31" t="s">
        <v>185</v>
      </c>
      <c r="F64" s="64">
        <v>78.983999999999995</v>
      </c>
      <c r="H64" s="32" t="s">
        <v>186</v>
      </c>
      <c r="I64" s="64">
        <v>6.7</v>
      </c>
      <c r="O64" s="32" t="s">
        <v>158</v>
      </c>
      <c r="P64" s="64" t="s">
        <v>2</v>
      </c>
    </row>
    <row r="65" spans="1:16" x14ac:dyDescent="0.4">
      <c r="A65" s="31" t="s">
        <v>187</v>
      </c>
      <c r="B65" s="62">
        <f>B64</f>
        <v>0</v>
      </c>
      <c r="E65" s="33" t="s">
        <v>188</v>
      </c>
      <c r="F65" s="64" t="s">
        <v>60</v>
      </c>
      <c r="H65" s="31" t="s">
        <v>189</v>
      </c>
      <c r="I65" s="52">
        <v>142.75730999999999</v>
      </c>
      <c r="O65" s="32" t="s">
        <v>190</v>
      </c>
      <c r="P65" s="52">
        <v>49.15</v>
      </c>
    </row>
    <row r="66" spans="1:16" x14ac:dyDescent="0.4">
      <c r="E66" s="34" t="s">
        <v>187</v>
      </c>
      <c r="F66" s="64">
        <v>78.983999999999995</v>
      </c>
      <c r="H66" s="31" t="s">
        <v>191</v>
      </c>
      <c r="I66" s="64">
        <f>SUM(I64:I65)</f>
        <v>149.45730999999998</v>
      </c>
      <c r="O66" s="31" t="s">
        <v>192</v>
      </c>
      <c r="P66" s="52">
        <v>14.102498947400001</v>
      </c>
    </row>
    <row r="67" spans="1:16" x14ac:dyDescent="0.4">
      <c r="E67" s="34" t="s">
        <v>173</v>
      </c>
      <c r="F67" s="64">
        <v>1.20529</v>
      </c>
      <c r="H67" s="31" t="s">
        <v>173</v>
      </c>
      <c r="I67" s="52">
        <v>2.4623499999999998</v>
      </c>
      <c r="O67" s="31" t="s">
        <v>193</v>
      </c>
      <c r="P67" s="52">
        <v>0.16611276129999999</v>
      </c>
    </row>
    <row r="68" spans="1:16" x14ac:dyDescent="0.4">
      <c r="F68" s="64">
        <v>77.778710000000004</v>
      </c>
      <c r="I68" s="64">
        <f>I66-I67</f>
        <v>146.99495999999999</v>
      </c>
      <c r="O68" s="31" t="s">
        <v>194</v>
      </c>
      <c r="P68" s="64">
        <f>SUM(P65:P67)</f>
        <v>63.418611708699999</v>
      </c>
    </row>
    <row r="69" spans="1:16" x14ac:dyDescent="0.4">
      <c r="E69" s="34" t="s">
        <v>1</v>
      </c>
      <c r="F69" s="5">
        <f>[1]!s_stm07_bs(E61,"155",$A$12,1,100000000)-F68</f>
        <v>0</v>
      </c>
      <c r="H69" s="31" t="s">
        <v>1</v>
      </c>
      <c r="I69" s="4">
        <f>[1]!s_stm07_bs(H61,"155",$A$12,1,100000000)-I68</f>
        <v>0</v>
      </c>
      <c r="O69" s="31" t="s">
        <v>195</v>
      </c>
      <c r="P69" s="52">
        <v>0.94874999999999998</v>
      </c>
    </row>
    <row r="70" spans="1:16" x14ac:dyDescent="0.4">
      <c r="P70" s="64">
        <f>P68-P69</f>
        <v>62.469861708700002</v>
      </c>
    </row>
    <row r="71" spans="1:16" x14ac:dyDescent="0.4">
      <c r="O71" s="31" t="s">
        <v>1</v>
      </c>
      <c r="P71" s="5">
        <f>[1]!s_stm07_bs(O61,"155",$A$12,1,100000000)-P70</f>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output2</vt:lpstr>
      <vt:lpstr>Sheet2</vt:lpstr>
      <vt:lpstr>output1</vt:lpstr>
      <vt:lpstr>Sheet1</vt:lpstr>
      <vt:lpstr>非标类信贷</vt:lpstr>
      <vt:lpstr>数据底稿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2017-09-28T07:56:00Z</dcterms:modified>
</cp:coreProperties>
</file>