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filterPrivacy="1"/>
  <bookViews>
    <workbookView xWindow="0" yWindow="0" windowWidth="22260" windowHeight="12645" activeTab="1"/>
  </bookViews>
  <sheets>
    <sheet name="数据底稿" sheetId="1" r:id="rId1"/>
    <sheet name="非标类信贷"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6" i="1" l="1"/>
  <c r="I56" i="1"/>
  <c r="F56" i="1"/>
  <c r="U37" i="1"/>
  <c r="R37" i="1"/>
  <c r="O37" i="1"/>
  <c r="L37" i="1"/>
  <c r="I37" i="1"/>
  <c r="F37" i="1"/>
  <c r="B37" i="1"/>
  <c r="W19" i="1"/>
  <c r="T19" i="1"/>
  <c r="Q19" i="1"/>
  <c r="N19" i="1"/>
  <c r="K19" i="1"/>
  <c r="H19" i="1"/>
  <c r="E19" i="1"/>
  <c r="B19" i="1"/>
  <c r="N2" i="1"/>
  <c r="K2" i="1"/>
  <c r="H2" i="1"/>
  <c r="C18" i="2" s="1"/>
  <c r="E2" i="1"/>
  <c r="B2" i="1"/>
  <c r="D17" i="2"/>
  <c r="D16" i="2"/>
  <c r="C39" i="2"/>
  <c r="C38" i="2"/>
  <c r="D26" i="2"/>
  <c r="Q24" i="2"/>
  <c r="T16" i="2"/>
  <c r="T37" i="2"/>
  <c r="T36" i="2"/>
  <c r="T35" i="2"/>
  <c r="T34" i="2"/>
  <c r="T32" i="2"/>
  <c r="T31" i="2"/>
  <c r="T30" i="2"/>
  <c r="T28" i="2"/>
  <c r="T27" i="2"/>
  <c r="T26" i="2"/>
  <c r="T24" i="2"/>
  <c r="T22" i="2"/>
  <c r="T21" i="2"/>
  <c r="T20" i="2"/>
  <c r="T19" i="2"/>
  <c r="T17" i="2"/>
  <c r="R16" i="2"/>
  <c r="C24" i="2"/>
  <c r="C28" i="2"/>
  <c r="C27" i="2"/>
  <c r="C26" i="2"/>
  <c r="C23" i="2"/>
  <c r="C22" i="2"/>
  <c r="B18" i="1"/>
  <c r="O47" i="1"/>
  <c r="L47" i="1"/>
  <c r="I48" i="1"/>
  <c r="F46" i="1"/>
  <c r="B50" i="1"/>
  <c r="W31" i="1"/>
  <c r="Q30" i="1"/>
  <c r="N28" i="1"/>
  <c r="K31" i="1"/>
  <c r="H32" i="1"/>
  <c r="E29" i="1"/>
  <c r="B34" i="1"/>
  <c r="N12" i="1"/>
  <c r="K14" i="1"/>
  <c r="H15" i="1"/>
  <c r="E12" i="1"/>
  <c r="P64" i="1"/>
  <c r="I46" i="1"/>
  <c r="F44" i="1"/>
  <c r="B48" i="1"/>
  <c r="W29" i="1"/>
  <c r="Q28" i="1"/>
  <c r="N26" i="1"/>
  <c r="K29" i="1"/>
  <c r="H30" i="1"/>
  <c r="E27" i="1"/>
  <c r="B32" i="1"/>
  <c r="N10" i="1"/>
  <c r="K11" i="1"/>
  <c r="H13" i="1"/>
  <c r="O45" i="1"/>
  <c r="E55" i="1"/>
  <c r="T36" i="1"/>
  <c r="H36" i="1"/>
  <c r="S18" i="1"/>
  <c r="G18" i="1"/>
  <c r="J1" i="1"/>
  <c r="H55" i="1"/>
  <c r="Q36" i="1"/>
  <c r="E36" i="1"/>
  <c r="P18" i="1"/>
  <c r="D18" i="1"/>
  <c r="G1" i="1"/>
  <c r="L55" i="1"/>
  <c r="N36" i="1"/>
  <c r="A36" i="1"/>
  <c r="M18" i="1"/>
  <c r="A18" i="1"/>
  <c r="D1" i="1"/>
  <c r="A55" i="1"/>
  <c r="O55" i="1"/>
  <c r="K36" i="1"/>
  <c r="V18" i="1"/>
  <c r="J18" i="1"/>
  <c r="M1" i="1"/>
  <c r="A1" i="1"/>
  <c r="O57" i="1"/>
  <c r="A57" i="1"/>
  <c r="K38" i="1"/>
  <c r="L57" i="1"/>
  <c r="A38" i="1"/>
  <c r="N38" i="1"/>
  <c r="H57" i="1"/>
  <c r="E38" i="1"/>
  <c r="E57" i="1"/>
  <c r="H38" i="1"/>
  <c r="Q38" i="1"/>
  <c r="P20" i="1"/>
  <c r="J20" i="1"/>
  <c r="G3" i="1"/>
  <c r="T38" i="1"/>
  <c r="A20" i="1"/>
  <c r="M20" i="1"/>
  <c r="J3" i="1"/>
  <c r="V20" i="1"/>
  <c r="D20" i="1"/>
  <c r="M3" i="1"/>
  <c r="D3" i="1"/>
  <c r="S20" i="1"/>
  <c r="G20" i="1"/>
  <c r="A3" i="1"/>
  <c r="E10" i="1" l="1"/>
  <c r="A69" i="2"/>
  <c r="F69" i="2" s="1"/>
  <c r="A65" i="2"/>
  <c r="F65" i="2" s="1"/>
  <c r="A58" i="2"/>
  <c r="A54" i="2"/>
  <c r="A50" i="2"/>
  <c r="A51" i="2"/>
  <c r="G51" i="2" s="1"/>
  <c r="Q51" i="2"/>
  <c r="A70" i="2"/>
  <c r="E69" i="2"/>
  <c r="A66" i="2"/>
  <c r="E65" i="2"/>
  <c r="A62" i="2"/>
  <c r="A59" i="2"/>
  <c r="E58" i="2"/>
  <c r="A55" i="2"/>
  <c r="E54" i="2"/>
  <c r="F51" i="2"/>
  <c r="Q70" i="2"/>
  <c r="Q66" i="2"/>
  <c r="Q62" i="2"/>
  <c r="Q58" i="2"/>
  <c r="Q54" i="2"/>
  <c r="Q50" i="2"/>
  <c r="A71" i="2"/>
  <c r="E70" i="2"/>
  <c r="H69" i="2"/>
  <c r="D69" i="2"/>
  <c r="A67" i="2"/>
  <c r="E66" i="2"/>
  <c r="H65" i="2"/>
  <c r="D65" i="2"/>
  <c r="A63" i="2"/>
  <c r="E62" i="2"/>
  <c r="A60" i="2"/>
  <c r="E59" i="2"/>
  <c r="H58" i="2"/>
  <c r="D58" i="2"/>
  <c r="A56" i="2"/>
  <c r="E55" i="2"/>
  <c r="H54" i="2"/>
  <c r="D54" i="2"/>
  <c r="A52" i="2"/>
  <c r="E51" i="2"/>
  <c r="H50" i="2"/>
  <c r="D50" i="2"/>
  <c r="A48" i="2"/>
  <c r="Q69" i="2"/>
  <c r="Q65" i="2"/>
  <c r="A72" i="2"/>
  <c r="Q72" i="2" s="1"/>
  <c r="E71" i="2"/>
  <c r="H70" i="2"/>
  <c r="D70" i="2"/>
  <c r="G69" i="2"/>
  <c r="C69" i="2"/>
  <c r="A68" i="2"/>
  <c r="E67" i="2"/>
  <c r="H66" i="2"/>
  <c r="D66" i="2"/>
  <c r="G65" i="2"/>
  <c r="C65" i="2"/>
  <c r="A64" i="2"/>
  <c r="E63" i="2"/>
  <c r="H62" i="2"/>
  <c r="D62" i="2"/>
  <c r="A61" i="2"/>
  <c r="E60" i="2"/>
  <c r="H59" i="2"/>
  <c r="D59" i="2"/>
  <c r="G58" i="2"/>
  <c r="C58" i="2"/>
  <c r="A57" i="2"/>
  <c r="E56" i="2"/>
  <c r="H55" i="2"/>
  <c r="D55" i="2"/>
  <c r="G54" i="2"/>
  <c r="C54" i="2"/>
  <c r="A53" i="2"/>
  <c r="E52" i="2"/>
  <c r="H51" i="2"/>
  <c r="D51" i="2"/>
  <c r="G50" i="2"/>
  <c r="C50" i="2"/>
  <c r="A49" i="2"/>
  <c r="E48" i="2"/>
  <c r="G59" i="2"/>
  <c r="F58" i="2"/>
  <c r="E57" i="2"/>
  <c r="D56" i="2"/>
  <c r="C55" i="2"/>
  <c r="F54" i="2"/>
  <c r="E53" i="2"/>
  <c r="D52" i="2"/>
  <c r="C51" i="2"/>
  <c r="F50" i="2"/>
  <c r="E49" i="2"/>
  <c r="D48" i="2"/>
  <c r="C52" i="2"/>
  <c r="E50" i="2"/>
  <c r="G48" i="2"/>
  <c r="F70" i="2"/>
  <c r="C70" i="2"/>
  <c r="G70" i="2"/>
  <c r="F66" i="2"/>
  <c r="C66" i="2"/>
  <c r="G66" i="2"/>
  <c r="F62" i="2"/>
  <c r="C62" i="2"/>
  <c r="G62" i="2"/>
  <c r="F59" i="2"/>
  <c r="Q59" i="2"/>
  <c r="C59" i="2"/>
  <c r="F55" i="2"/>
  <c r="Q55" i="2"/>
  <c r="G55" i="2"/>
  <c r="F71" i="2"/>
  <c r="C71" i="2"/>
  <c r="G71" i="2"/>
  <c r="Q71" i="2"/>
  <c r="D71" i="2"/>
  <c r="H71" i="2"/>
  <c r="F67" i="2"/>
  <c r="C67" i="2"/>
  <c r="G67" i="2"/>
  <c r="Q67" i="2"/>
  <c r="D67" i="2"/>
  <c r="H67" i="2"/>
  <c r="F63" i="2"/>
  <c r="C63" i="2"/>
  <c r="G63" i="2"/>
  <c r="Q63" i="2"/>
  <c r="D63" i="2"/>
  <c r="H63" i="2"/>
  <c r="F60" i="2"/>
  <c r="C60" i="2"/>
  <c r="G60" i="2"/>
  <c r="D60" i="2"/>
  <c r="H60" i="2"/>
  <c r="Q60" i="2"/>
  <c r="F56" i="2"/>
  <c r="C56" i="2"/>
  <c r="G56" i="2"/>
  <c r="H56" i="2"/>
  <c r="Q56" i="2"/>
  <c r="F52" i="2"/>
  <c r="G52" i="2"/>
  <c r="H52" i="2"/>
  <c r="Q52" i="2"/>
  <c r="F48" i="2"/>
  <c r="C48" i="2"/>
  <c r="H48" i="2"/>
  <c r="Q48" i="2"/>
  <c r="F72" i="2"/>
  <c r="C72" i="2"/>
  <c r="G72" i="2"/>
  <c r="D72" i="2"/>
  <c r="H72" i="2"/>
  <c r="E72" i="2"/>
  <c r="F68" i="2"/>
  <c r="C68" i="2"/>
  <c r="G68" i="2"/>
  <c r="D68" i="2"/>
  <c r="H68" i="2"/>
  <c r="E68" i="2"/>
  <c r="Q68" i="2"/>
  <c r="F64" i="2"/>
  <c r="C64" i="2"/>
  <c r="G64" i="2"/>
  <c r="D64" i="2"/>
  <c r="H64" i="2"/>
  <c r="E64" i="2"/>
  <c r="Q64" i="2"/>
  <c r="F61" i="2"/>
  <c r="Q61" i="2"/>
  <c r="C61" i="2"/>
  <c r="G61" i="2"/>
  <c r="D61" i="2"/>
  <c r="E61" i="2"/>
  <c r="F57" i="2"/>
  <c r="Q57" i="2"/>
  <c r="C57" i="2"/>
  <c r="G57" i="2"/>
  <c r="D57" i="2"/>
  <c r="H57" i="2"/>
  <c r="F53" i="2"/>
  <c r="Q53" i="2"/>
  <c r="C53" i="2"/>
  <c r="G53" i="2"/>
  <c r="D53" i="2"/>
  <c r="H53" i="2"/>
  <c r="F49" i="2"/>
  <c r="Q49" i="2"/>
  <c r="C49" i="2"/>
  <c r="G49" i="2"/>
  <c r="H49" i="2"/>
  <c r="D49" i="2"/>
  <c r="P16" i="2" l="1"/>
  <c r="P17" i="2" l="1"/>
  <c r="P18" i="2"/>
  <c r="P19" i="2"/>
  <c r="P20" i="2"/>
  <c r="P21" i="2"/>
  <c r="P22" i="2"/>
  <c r="P23" i="2"/>
  <c r="P24" i="2"/>
  <c r="P25" i="2"/>
  <c r="P26" i="2"/>
  <c r="P27" i="2"/>
  <c r="P28" i="2"/>
  <c r="P29" i="2"/>
  <c r="P30" i="2"/>
  <c r="P31" i="2"/>
  <c r="P32" i="2"/>
  <c r="P33" i="2"/>
  <c r="P34" i="2"/>
  <c r="P35" i="2"/>
  <c r="P36" i="2"/>
  <c r="P37" i="2"/>
  <c r="P38" i="2"/>
  <c r="P39" i="2"/>
  <c r="P40" i="2"/>
  <c r="S21" i="2" l="1"/>
  <c r="S17" i="2"/>
  <c r="S25" i="2"/>
  <c r="S29" i="2"/>
  <c r="S23" i="2"/>
  <c r="S30" i="2"/>
  <c r="S34" i="2"/>
  <c r="S38" i="2"/>
  <c r="S32" i="2"/>
  <c r="S36" i="2"/>
  <c r="S16" i="2"/>
  <c r="S20" i="2"/>
  <c r="S24" i="2"/>
  <c r="S28" i="2"/>
  <c r="S19" i="2"/>
  <c r="S31" i="2"/>
  <c r="S35" i="2"/>
  <c r="S39" i="2"/>
  <c r="S33" i="2"/>
  <c r="S18" i="2"/>
  <c r="S22" i="2"/>
  <c r="S26" i="2"/>
  <c r="D38" i="2"/>
  <c r="C20" i="2"/>
  <c r="D20" i="2" s="1"/>
  <c r="C40" i="2"/>
  <c r="C37" i="2"/>
  <c r="C36" i="2"/>
  <c r="C34" i="2"/>
  <c r="C33" i="2"/>
  <c r="C35" i="2"/>
  <c r="C19" i="2"/>
  <c r="Q38" i="2" l="1"/>
  <c r="I48" i="2"/>
  <c r="S40" i="2"/>
  <c r="S27" i="2"/>
  <c r="S37" i="2"/>
  <c r="C31" i="2"/>
  <c r="D31" i="2" s="1"/>
  <c r="D36" i="2"/>
  <c r="Q20" i="2"/>
  <c r="D28" i="2"/>
  <c r="D34" i="2"/>
  <c r="D19" i="2"/>
  <c r="D35" i="2"/>
  <c r="D37" i="2"/>
  <c r="D39" i="2"/>
  <c r="D27" i="2"/>
  <c r="D33" i="2"/>
  <c r="D40" i="2"/>
  <c r="M72" i="2"/>
  <c r="M60" i="2"/>
  <c r="M52" i="2"/>
  <c r="I20" i="2" s="1"/>
  <c r="M71" i="2"/>
  <c r="M67" i="2"/>
  <c r="M63" i="2"/>
  <c r="M59" i="2"/>
  <c r="M55" i="2"/>
  <c r="M51" i="2"/>
  <c r="M64" i="2"/>
  <c r="M70" i="2"/>
  <c r="I38" i="2" s="1"/>
  <c r="M66" i="2"/>
  <c r="M62" i="2"/>
  <c r="M58" i="2"/>
  <c r="M54" i="2"/>
  <c r="M68" i="2"/>
  <c r="M56" i="2"/>
  <c r="M69" i="2"/>
  <c r="M65" i="2"/>
  <c r="M61" i="2"/>
  <c r="M57" i="2"/>
  <c r="M53" i="2"/>
  <c r="M49" i="2"/>
  <c r="M48" i="2"/>
  <c r="L50" i="2"/>
  <c r="M50" i="2"/>
  <c r="L48" i="2"/>
  <c r="K72" i="2"/>
  <c r="L72" i="2"/>
  <c r="K60" i="2"/>
  <c r="L60" i="2"/>
  <c r="K52" i="2"/>
  <c r="G20" i="2" s="1"/>
  <c r="L52" i="2"/>
  <c r="H20" i="2" s="1"/>
  <c r="K71" i="2"/>
  <c r="L71" i="2"/>
  <c r="K67" i="2"/>
  <c r="L67" i="2"/>
  <c r="K63" i="2"/>
  <c r="L63" i="2"/>
  <c r="K59" i="2"/>
  <c r="L59" i="2"/>
  <c r="K55" i="2"/>
  <c r="L55" i="2"/>
  <c r="K51" i="2"/>
  <c r="L51" i="2"/>
  <c r="K64" i="2"/>
  <c r="L64" i="2"/>
  <c r="K70" i="2"/>
  <c r="G38" i="2" s="1"/>
  <c r="L70" i="2"/>
  <c r="H38" i="2" s="1"/>
  <c r="K66" i="2"/>
  <c r="L66" i="2"/>
  <c r="K62" i="2"/>
  <c r="L62" i="2"/>
  <c r="K58" i="2"/>
  <c r="L58" i="2"/>
  <c r="K54" i="2"/>
  <c r="L54" i="2"/>
  <c r="K50" i="2"/>
  <c r="K68" i="2"/>
  <c r="L68" i="2"/>
  <c r="K56" i="2"/>
  <c r="L56" i="2"/>
  <c r="K69" i="2"/>
  <c r="L69" i="2"/>
  <c r="K65" i="2"/>
  <c r="L65" i="2"/>
  <c r="K61" i="2"/>
  <c r="L61" i="2"/>
  <c r="K57" i="2"/>
  <c r="L57" i="2"/>
  <c r="K53" i="2"/>
  <c r="L53" i="2"/>
  <c r="K49" i="2"/>
  <c r="L49" i="2"/>
  <c r="K48" i="2"/>
  <c r="J48" i="2"/>
  <c r="I72" i="2"/>
  <c r="J72" i="2"/>
  <c r="I60" i="2"/>
  <c r="J60" i="2"/>
  <c r="I52" i="2"/>
  <c r="E20" i="2" s="1"/>
  <c r="J52" i="2"/>
  <c r="F20" i="2" s="1"/>
  <c r="I71" i="2"/>
  <c r="J71" i="2"/>
  <c r="I67" i="2"/>
  <c r="J67" i="2"/>
  <c r="I63" i="2"/>
  <c r="J63" i="2"/>
  <c r="I59" i="2"/>
  <c r="J59" i="2"/>
  <c r="I55" i="2"/>
  <c r="J55" i="2"/>
  <c r="I51" i="2"/>
  <c r="J51" i="2"/>
  <c r="I64" i="2"/>
  <c r="J64" i="2"/>
  <c r="I70" i="2"/>
  <c r="E38" i="2" s="1"/>
  <c r="J70" i="2"/>
  <c r="F38" i="2" s="1"/>
  <c r="I66" i="2"/>
  <c r="J66" i="2"/>
  <c r="I62" i="2"/>
  <c r="J62" i="2"/>
  <c r="I58" i="2"/>
  <c r="J58" i="2"/>
  <c r="I54" i="2"/>
  <c r="J54" i="2"/>
  <c r="I50" i="2"/>
  <c r="J50" i="2"/>
  <c r="I68" i="2"/>
  <c r="J68" i="2"/>
  <c r="I56" i="2"/>
  <c r="J56" i="2"/>
  <c r="I69" i="2"/>
  <c r="J69" i="2"/>
  <c r="I65" i="2"/>
  <c r="J65" i="2"/>
  <c r="I61" i="2"/>
  <c r="J61" i="2"/>
  <c r="I57" i="2"/>
  <c r="J57" i="2"/>
  <c r="I53" i="2"/>
  <c r="J53" i="2"/>
  <c r="I49" i="2"/>
  <c r="J49" i="2"/>
  <c r="P66" i="1"/>
  <c r="I63" i="1"/>
  <c r="I65" i="1" s="1"/>
  <c r="B61" i="1"/>
  <c r="U47" i="1"/>
  <c r="R44" i="1"/>
  <c r="R46" i="1" s="1"/>
  <c r="L45" i="1"/>
  <c r="C17" i="2"/>
  <c r="C16" i="2"/>
  <c r="C30" i="2"/>
  <c r="B49" i="1"/>
  <c r="B47" i="1"/>
  <c r="C29" i="2" s="1"/>
  <c r="T28" i="1"/>
  <c r="K26" i="1"/>
  <c r="K25" i="1"/>
  <c r="Q31" i="2" l="1"/>
  <c r="F31" i="2"/>
  <c r="I31" i="2"/>
  <c r="E31" i="2"/>
  <c r="J31" i="2" s="1"/>
  <c r="H31" i="2"/>
  <c r="G31" i="2"/>
  <c r="Q37" i="2"/>
  <c r="H37" i="2"/>
  <c r="G37" i="2"/>
  <c r="F37" i="2"/>
  <c r="I37" i="2"/>
  <c r="E37" i="2"/>
  <c r="Q33" i="2"/>
  <c r="H33" i="2"/>
  <c r="G33" i="2"/>
  <c r="F33" i="2"/>
  <c r="I33" i="2"/>
  <c r="E33" i="2"/>
  <c r="J33" i="2" s="1"/>
  <c r="Q35" i="2"/>
  <c r="F35" i="2"/>
  <c r="I35" i="2"/>
  <c r="E35" i="2"/>
  <c r="J35" i="2" s="1"/>
  <c r="H35" i="2"/>
  <c r="G35" i="2"/>
  <c r="Q39" i="2"/>
  <c r="F39" i="2"/>
  <c r="I39" i="2"/>
  <c r="E39" i="2"/>
  <c r="H39" i="2"/>
  <c r="G39" i="2"/>
  <c r="Q34" i="2"/>
  <c r="G34" i="2"/>
  <c r="F34" i="2"/>
  <c r="I34" i="2"/>
  <c r="E34" i="2"/>
  <c r="H34" i="2"/>
  <c r="Q40" i="2"/>
  <c r="I40" i="2"/>
  <c r="E40" i="2"/>
  <c r="H40" i="2"/>
  <c r="G40" i="2"/>
  <c r="F40" i="2"/>
  <c r="Q28" i="2"/>
  <c r="I28" i="2"/>
  <c r="E28" i="2"/>
  <c r="H28" i="2"/>
  <c r="G28" i="2"/>
  <c r="F28" i="2"/>
  <c r="Q27" i="2"/>
  <c r="F27" i="2"/>
  <c r="I27" i="2"/>
  <c r="E27" i="2"/>
  <c r="J27" i="2" s="1"/>
  <c r="H27" i="2"/>
  <c r="G27" i="2"/>
  <c r="Q19" i="2"/>
  <c r="F19" i="2"/>
  <c r="I19" i="2"/>
  <c r="E19" i="2"/>
  <c r="H19" i="2"/>
  <c r="G19" i="2"/>
  <c r="Q36" i="2"/>
  <c r="I36" i="2"/>
  <c r="E36" i="2"/>
  <c r="H36" i="2"/>
  <c r="G36" i="2"/>
  <c r="F36" i="2"/>
  <c r="D22" i="2"/>
  <c r="D23" i="2"/>
  <c r="D30" i="2"/>
  <c r="D29" i="2"/>
  <c r="J39" i="2"/>
  <c r="N48" i="2"/>
  <c r="N54" i="2"/>
  <c r="N62" i="2"/>
  <c r="N70" i="2"/>
  <c r="J19" i="2"/>
  <c r="N56" i="2"/>
  <c r="N64" i="2"/>
  <c r="N55" i="2"/>
  <c r="N63" i="2"/>
  <c r="N71" i="2"/>
  <c r="N60" i="2"/>
  <c r="N53" i="2"/>
  <c r="N61" i="2"/>
  <c r="N69" i="2"/>
  <c r="J38" i="2"/>
  <c r="J37" i="2"/>
  <c r="J36" i="2"/>
  <c r="N50" i="2"/>
  <c r="N58" i="2"/>
  <c r="N66" i="2"/>
  <c r="N68" i="2"/>
  <c r="N51" i="2"/>
  <c r="N59" i="2"/>
  <c r="N67" i="2"/>
  <c r="N52" i="2"/>
  <c r="N72" i="2"/>
  <c r="N49" i="2"/>
  <c r="N57" i="2"/>
  <c r="N65" i="2"/>
  <c r="U49" i="1"/>
  <c r="C32" i="2"/>
  <c r="C25" i="2"/>
  <c r="D25" i="2" s="1"/>
  <c r="T20" i="1"/>
  <c r="C21" i="2"/>
  <c r="K9" i="1"/>
  <c r="K8" i="1"/>
  <c r="K6" i="1"/>
  <c r="K5" i="1"/>
  <c r="B9" i="1"/>
  <c r="H29" i="2" l="1"/>
  <c r="G29" i="2"/>
  <c r="F29" i="2"/>
  <c r="I29" i="2"/>
  <c r="E29" i="2"/>
  <c r="Q30" i="2"/>
  <c r="G30" i="2"/>
  <c r="F30" i="2"/>
  <c r="K30" i="2" s="1"/>
  <c r="I30" i="2"/>
  <c r="E30" i="2"/>
  <c r="H30" i="2"/>
  <c r="Q17" i="2"/>
  <c r="H17" i="2"/>
  <c r="G17" i="2"/>
  <c r="F17" i="2"/>
  <c r="I17" i="2"/>
  <c r="E17" i="2"/>
  <c r="Q22" i="2"/>
  <c r="G22" i="2"/>
  <c r="F22" i="2"/>
  <c r="I22" i="2"/>
  <c r="E22" i="2"/>
  <c r="H22" i="2"/>
  <c r="I16" i="2"/>
  <c r="E16" i="2"/>
  <c r="J16" i="2" s="1"/>
  <c r="H16" i="2"/>
  <c r="G16" i="2"/>
  <c r="F16" i="2"/>
  <c r="Q23" i="2"/>
  <c r="F23" i="2"/>
  <c r="I23" i="2"/>
  <c r="E23" i="2"/>
  <c r="J23" i="2" s="1"/>
  <c r="H23" i="2"/>
  <c r="G23" i="2"/>
  <c r="Q26" i="2"/>
  <c r="G26" i="2"/>
  <c r="F26" i="2"/>
  <c r="I26" i="2"/>
  <c r="E26" i="2"/>
  <c r="H26" i="2"/>
  <c r="J40" i="2"/>
  <c r="J22" i="2"/>
  <c r="J34" i="2"/>
  <c r="Q16" i="2"/>
  <c r="Q29" i="2"/>
  <c r="J29" i="2"/>
  <c r="D18" i="2"/>
  <c r="K26" i="2"/>
  <c r="K31" i="2"/>
  <c r="K35" i="2"/>
  <c r="J17" i="2"/>
  <c r="D32" i="2"/>
  <c r="D24" i="2"/>
  <c r="J20" i="2"/>
  <c r="D21" i="2"/>
  <c r="J28" i="2"/>
  <c r="K38" i="2"/>
  <c r="K34" i="2"/>
  <c r="K37" i="2"/>
  <c r="K39" i="2"/>
  <c r="K27" i="2"/>
  <c r="K40" i="2"/>
  <c r="K19" i="2"/>
  <c r="K36" i="2"/>
  <c r="K20" i="2"/>
  <c r="K33" i="2"/>
  <c r="I24" i="2" l="1"/>
  <c r="E24" i="2"/>
  <c r="H24" i="2"/>
  <c r="G24" i="2"/>
  <c r="F24" i="2"/>
  <c r="Q18" i="2"/>
  <c r="G18" i="2"/>
  <c r="F18" i="2"/>
  <c r="K18" i="2" s="1"/>
  <c r="I18" i="2"/>
  <c r="E18" i="2"/>
  <c r="H18" i="2"/>
  <c r="Q21" i="2"/>
  <c r="H21" i="2"/>
  <c r="G21" i="2"/>
  <c r="F21" i="2"/>
  <c r="I21" i="2"/>
  <c r="E21" i="2"/>
  <c r="Q32" i="2"/>
  <c r="I32" i="2"/>
  <c r="E32" i="2"/>
  <c r="H32" i="2"/>
  <c r="G32" i="2"/>
  <c r="F32" i="2"/>
  <c r="Q25" i="2"/>
  <c r="H25" i="2"/>
  <c r="G25" i="2"/>
  <c r="F25" i="2"/>
  <c r="I25" i="2"/>
  <c r="E25" i="2"/>
  <c r="J25" i="2" s="1"/>
  <c r="K22" i="2"/>
  <c r="J26" i="2"/>
  <c r="L31" i="2"/>
  <c r="L30" i="2"/>
  <c r="J24" i="2"/>
  <c r="K23" i="2"/>
  <c r="J30" i="2"/>
  <c r="J32" i="2"/>
  <c r="K21" i="2"/>
  <c r="K17" i="2"/>
  <c r="L33" i="2"/>
  <c r="L39" i="2"/>
  <c r="L37" i="2"/>
  <c r="L27" i="2"/>
  <c r="L22" i="2"/>
  <c r="K28" i="2"/>
  <c r="L20" i="2"/>
  <c r="L36" i="2"/>
  <c r="L19" i="2"/>
  <c r="L40" i="2"/>
  <c r="L38" i="2"/>
  <c r="L34" i="2"/>
  <c r="L35" i="2"/>
  <c r="L17" i="2" l="1"/>
  <c r="L26" i="2"/>
  <c r="N31" i="2"/>
  <c r="N30" i="2"/>
  <c r="J18" i="2"/>
  <c r="K16" i="2"/>
  <c r="K29" i="2"/>
  <c r="N23" i="2"/>
  <c r="K25" i="2"/>
  <c r="J21" i="2"/>
  <c r="N40" i="2"/>
  <c r="M40" i="2"/>
  <c r="N36" i="2"/>
  <c r="M36" i="2"/>
  <c r="N22" i="2"/>
  <c r="M22" i="2"/>
  <c r="N27" i="2"/>
  <c r="M27" i="2"/>
  <c r="N35" i="2"/>
  <c r="M35" i="2"/>
  <c r="N26" i="2"/>
  <c r="M26" i="2"/>
  <c r="N39" i="2"/>
  <c r="M39" i="2"/>
  <c r="N34" i="2"/>
  <c r="M34" i="2"/>
  <c r="N38" i="2"/>
  <c r="M38" i="2"/>
  <c r="M31" i="2"/>
  <c r="N20" i="2"/>
  <c r="M20" i="2"/>
  <c r="N19" i="2"/>
  <c r="M19" i="2"/>
  <c r="L28" i="2"/>
  <c r="N37" i="2"/>
  <c r="M37" i="2"/>
  <c r="N17" i="2"/>
  <c r="M17" i="2"/>
  <c r="N33" i="2"/>
  <c r="M33" i="2"/>
  <c r="L18" i="2" l="1"/>
  <c r="L21" i="2"/>
  <c r="L23" i="2"/>
  <c r="M30" i="2"/>
  <c r="O30" i="2" s="1"/>
  <c r="R30" i="2" s="1"/>
  <c r="L16" i="2"/>
  <c r="K24" i="2"/>
  <c r="M23" i="2"/>
  <c r="L29" i="2"/>
  <c r="O22" i="2"/>
  <c r="R22" i="2" s="1"/>
  <c r="K32" i="2"/>
  <c r="O31" i="2"/>
  <c r="R31" i="2" s="1"/>
  <c r="O36" i="2"/>
  <c r="R36" i="2" s="1"/>
  <c r="O20" i="2"/>
  <c r="O34" i="2"/>
  <c r="R34" i="2" s="1"/>
  <c r="O37" i="2"/>
  <c r="R37" i="2" s="1"/>
  <c r="O26" i="2"/>
  <c r="R26" i="2" s="1"/>
  <c r="O19" i="2"/>
  <c r="R19" i="2" s="1"/>
  <c r="O35" i="2"/>
  <c r="R35" i="2" s="1"/>
  <c r="O27" i="2"/>
  <c r="R27" i="2" s="1"/>
  <c r="O17" i="2"/>
  <c r="R17" i="2" s="1"/>
  <c r="O33" i="2"/>
  <c r="R33" i="2" s="1"/>
  <c r="T33" i="2" s="1"/>
  <c r="O39" i="2"/>
  <c r="R39" i="2" s="1"/>
  <c r="T39" i="2" s="1"/>
  <c r="N18" i="2"/>
  <c r="M18" i="2"/>
  <c r="N21" i="2"/>
  <c r="M21" i="2"/>
  <c r="N28" i="2"/>
  <c r="M28" i="2"/>
  <c r="O38" i="2"/>
  <c r="R38" i="2" s="1"/>
  <c r="T38" i="2" s="1"/>
  <c r="O40" i="2"/>
  <c r="R40" i="2" s="1"/>
  <c r="T40" i="2" s="1"/>
  <c r="O23" i="2" l="1"/>
  <c r="R23" i="2" s="1"/>
  <c r="T23" i="2" s="1"/>
  <c r="L25" i="2"/>
  <c r="L24" i="2"/>
  <c r="M16" i="2"/>
  <c r="N16" i="2"/>
  <c r="N29" i="2"/>
  <c r="M29" i="2"/>
  <c r="L32" i="2"/>
  <c r="O28" i="2"/>
  <c r="R28" i="2" s="1"/>
  <c r="R20" i="2"/>
  <c r="O21" i="2"/>
  <c r="R21" i="2" s="1"/>
  <c r="O18" i="2"/>
  <c r="R18" i="2" s="1"/>
  <c r="T18" i="2" s="1"/>
  <c r="O16" i="2" l="1"/>
  <c r="O29" i="2"/>
  <c r="R29" i="2" s="1"/>
  <c r="T29" i="2" s="1"/>
  <c r="M25" i="2"/>
  <c r="N25" i="2"/>
  <c r="N24" i="2"/>
  <c r="M24" i="2"/>
  <c r="M32" i="2"/>
  <c r="N32" i="2"/>
  <c r="O25" i="2" l="1"/>
  <c r="D6" i="2" s="1"/>
  <c r="O24" i="2"/>
  <c r="R24" i="2" s="1"/>
  <c r="O32" i="2"/>
  <c r="R32" i="2" s="1"/>
  <c r="R25" i="2" l="1"/>
  <c r="T25" i="2" s="1"/>
</calcChain>
</file>

<file path=xl/sharedStrings.xml><?xml version="1.0" encoding="utf-8"?>
<sst xmlns="http://schemas.openxmlformats.org/spreadsheetml/2006/main" count="340" uniqueCount="195">
  <si>
    <t>工商银行</t>
    <phoneticPr fontId="3" type="noConversion"/>
  </si>
  <si>
    <t>5.应收款项</t>
    <phoneticPr fontId="3" type="noConversion"/>
  </si>
  <si>
    <t>2017H（集团）</t>
  </si>
  <si>
    <t>债券</t>
    <phoneticPr fontId="3" type="noConversion"/>
  </si>
  <si>
    <t>国债</t>
    <phoneticPr fontId="3" type="noConversion"/>
  </si>
  <si>
    <t>其他</t>
    <phoneticPr fontId="3" type="noConversion"/>
  </si>
  <si>
    <t>小计</t>
    <phoneticPr fontId="3" type="noConversion"/>
  </si>
  <si>
    <t>建设银行</t>
    <phoneticPr fontId="3" type="noConversion"/>
  </si>
  <si>
    <t>5.应收款项</t>
    <phoneticPr fontId="3" type="noConversion"/>
  </si>
  <si>
    <t>政府债</t>
    <phoneticPr fontId="3" type="noConversion"/>
  </si>
  <si>
    <t>金融债</t>
    <phoneticPr fontId="3" type="noConversion"/>
  </si>
  <si>
    <t>企业债</t>
    <phoneticPr fontId="3" type="noConversion"/>
  </si>
  <si>
    <t>小计</t>
    <phoneticPr fontId="3" type="noConversion"/>
  </si>
  <si>
    <t>减值准备</t>
    <phoneticPr fontId="3" type="noConversion"/>
  </si>
  <si>
    <t>农业银行</t>
    <phoneticPr fontId="3" type="noConversion"/>
  </si>
  <si>
    <t>财政部款项</t>
    <phoneticPr fontId="3" type="noConversion"/>
  </si>
  <si>
    <t>特别国债</t>
    <phoneticPr fontId="3" type="noConversion"/>
  </si>
  <si>
    <t>政府债</t>
    <phoneticPr fontId="3" type="noConversion"/>
  </si>
  <si>
    <t>公共实体</t>
    <phoneticPr fontId="3" type="noConversion"/>
  </si>
  <si>
    <t>企业债</t>
    <phoneticPr fontId="3" type="noConversion"/>
  </si>
  <si>
    <t>凭证式国债</t>
    <phoneticPr fontId="3" type="noConversion"/>
  </si>
  <si>
    <t>减值准备</t>
    <phoneticPr fontId="3" type="noConversion"/>
  </si>
  <si>
    <t>公共实体债</t>
    <phoneticPr fontId="3" type="noConversion"/>
  </si>
  <si>
    <t>政策性银行</t>
    <phoneticPr fontId="3" type="noConversion"/>
  </si>
  <si>
    <t>公司债</t>
    <phoneticPr fontId="3" type="noConversion"/>
  </si>
  <si>
    <t>管理公司</t>
    <phoneticPr fontId="3" type="noConversion"/>
  </si>
  <si>
    <t>信托投资、资产管理计划及其他</t>
    <phoneticPr fontId="3" type="noConversion"/>
  </si>
  <si>
    <t>减值准备</t>
    <phoneticPr fontId="3" type="noConversion"/>
  </si>
  <si>
    <t>中国银行</t>
    <phoneticPr fontId="3" type="noConversion"/>
  </si>
  <si>
    <t>招商银行</t>
    <phoneticPr fontId="3" type="noConversion"/>
  </si>
  <si>
    <t>其他债券</t>
    <phoneticPr fontId="3" type="noConversion"/>
  </si>
  <si>
    <t>货币基金</t>
    <phoneticPr fontId="3" type="noConversion"/>
  </si>
  <si>
    <t>票据</t>
    <phoneticPr fontId="3" type="noConversion"/>
  </si>
  <si>
    <t>理财</t>
    <phoneticPr fontId="3" type="noConversion"/>
  </si>
  <si>
    <t>贷款</t>
    <phoneticPr fontId="3" type="noConversion"/>
  </si>
  <si>
    <t>同业存款</t>
    <phoneticPr fontId="3" type="noConversion"/>
  </si>
  <si>
    <t>同业债权资产收益权</t>
    <phoneticPr fontId="3" type="noConversion"/>
  </si>
  <si>
    <t>减值准备</t>
    <phoneticPr fontId="3" type="noConversion"/>
  </si>
  <si>
    <t>其他投资</t>
    <phoneticPr fontId="3" type="noConversion"/>
  </si>
  <si>
    <t>减值准备</t>
    <phoneticPr fontId="3" type="noConversion"/>
  </si>
  <si>
    <t>中信银行</t>
    <phoneticPr fontId="3" type="noConversion"/>
  </si>
  <si>
    <t>资管</t>
    <phoneticPr fontId="3" type="noConversion"/>
  </si>
  <si>
    <t>信托</t>
    <phoneticPr fontId="3" type="noConversion"/>
  </si>
  <si>
    <t>-</t>
    <phoneticPr fontId="3" type="noConversion"/>
  </si>
  <si>
    <t>其他投资</t>
    <phoneticPr fontId="3" type="noConversion"/>
  </si>
  <si>
    <t>浦发银行</t>
    <phoneticPr fontId="3" type="noConversion"/>
  </si>
  <si>
    <t>资产支持债券</t>
    <phoneticPr fontId="3" type="noConversion"/>
  </si>
  <si>
    <t>信托及资管</t>
    <phoneticPr fontId="3" type="noConversion"/>
  </si>
  <si>
    <t>民生银行</t>
    <phoneticPr fontId="3" type="noConversion"/>
  </si>
  <si>
    <t>政府债</t>
    <phoneticPr fontId="3" type="noConversion"/>
  </si>
  <si>
    <t>政策性银行</t>
    <phoneticPr fontId="3" type="noConversion"/>
  </si>
  <si>
    <t>金融债</t>
    <phoneticPr fontId="3" type="noConversion"/>
  </si>
  <si>
    <t>光大银行</t>
    <phoneticPr fontId="3" type="noConversion"/>
  </si>
  <si>
    <t>华夏银行</t>
    <phoneticPr fontId="3" type="noConversion"/>
  </si>
  <si>
    <t>政府债</t>
    <phoneticPr fontId="3" type="noConversion"/>
  </si>
  <si>
    <t>理财</t>
    <phoneticPr fontId="3" type="noConversion"/>
  </si>
  <si>
    <t>资产收益权</t>
    <phoneticPr fontId="3" type="noConversion"/>
  </si>
  <si>
    <t>兴业银行</t>
    <phoneticPr fontId="3" type="noConversion"/>
  </si>
  <si>
    <t>政府债</t>
    <phoneticPr fontId="3" type="noConversion"/>
  </si>
  <si>
    <t>金融债</t>
    <phoneticPr fontId="3" type="noConversion"/>
  </si>
  <si>
    <t>信托及资管</t>
    <phoneticPr fontId="3" type="noConversion"/>
  </si>
  <si>
    <t>小计</t>
    <phoneticPr fontId="3" type="noConversion"/>
  </si>
  <si>
    <t>平安银行</t>
    <phoneticPr fontId="3" type="noConversion"/>
  </si>
  <si>
    <t>5.应收款项</t>
    <phoneticPr fontId="3" type="noConversion"/>
  </si>
  <si>
    <t>理财</t>
    <phoneticPr fontId="3" type="noConversion"/>
  </si>
  <si>
    <t>资管</t>
    <phoneticPr fontId="3" type="noConversion"/>
  </si>
  <si>
    <t>信托</t>
    <phoneticPr fontId="3" type="noConversion"/>
  </si>
  <si>
    <t>票据</t>
    <phoneticPr fontId="3" type="noConversion"/>
  </si>
  <si>
    <t>资产证券化支持证券</t>
    <phoneticPr fontId="3" type="noConversion"/>
  </si>
  <si>
    <t>小计</t>
    <phoneticPr fontId="3" type="noConversion"/>
  </si>
  <si>
    <t>北京银行</t>
    <phoneticPr fontId="3" type="noConversion"/>
  </si>
  <si>
    <t>政策性债券</t>
    <phoneticPr fontId="3" type="noConversion"/>
  </si>
  <si>
    <t>南京银行</t>
    <phoneticPr fontId="3" type="noConversion"/>
  </si>
  <si>
    <t>2017H</t>
    <phoneticPr fontId="3" type="noConversion"/>
  </si>
  <si>
    <t>信托</t>
    <phoneticPr fontId="3" type="noConversion"/>
  </si>
  <si>
    <t>资产减值准备</t>
    <phoneticPr fontId="3" type="noConversion"/>
  </si>
  <si>
    <t>宁波银行</t>
    <phoneticPr fontId="3" type="noConversion"/>
  </si>
  <si>
    <t>企业债</t>
    <phoneticPr fontId="3" type="noConversion"/>
  </si>
  <si>
    <t>-</t>
    <phoneticPr fontId="3" type="noConversion"/>
  </si>
  <si>
    <t>理财及信托</t>
    <phoneticPr fontId="3" type="noConversion"/>
  </si>
  <si>
    <t>江苏银行</t>
    <phoneticPr fontId="3" type="noConversion"/>
  </si>
  <si>
    <t>5.应收款项</t>
    <phoneticPr fontId="3" type="noConversion"/>
  </si>
  <si>
    <t>其他债</t>
    <phoneticPr fontId="3" type="noConversion"/>
  </si>
  <si>
    <t>小计</t>
    <phoneticPr fontId="3" type="noConversion"/>
  </si>
  <si>
    <t>减值准备</t>
    <phoneticPr fontId="3" type="noConversion"/>
  </si>
  <si>
    <t>资管及信托</t>
    <phoneticPr fontId="3" type="noConversion"/>
  </si>
  <si>
    <t>贵阳银行</t>
  </si>
  <si>
    <t>杭州银行</t>
  </si>
  <si>
    <t>5.应收款项类投资</t>
  </si>
  <si>
    <t>政府债券</t>
  </si>
  <si>
    <t>信托及资产管理计划</t>
  </si>
  <si>
    <t>合计</t>
  </si>
  <si>
    <t>减值准备</t>
  </si>
  <si>
    <t>control</t>
  </si>
  <si>
    <t>上海银行</t>
  </si>
  <si>
    <t>中国境内</t>
  </si>
  <si>
    <t>政府</t>
  </si>
  <si>
    <t>商业银行</t>
  </si>
  <si>
    <t>非银行金融机构</t>
  </si>
  <si>
    <t>企业</t>
  </si>
  <si>
    <t>江阴银行</t>
  </si>
  <si>
    <t>4.应收款项类投资</t>
  </si>
  <si>
    <t>资管类</t>
    <phoneticPr fontId="7" type="noConversion"/>
  </si>
  <si>
    <t>小计</t>
    <phoneticPr fontId="7" type="noConversion"/>
  </si>
  <si>
    <t>无锡银行</t>
  </si>
  <si>
    <t>信托及资管</t>
    <phoneticPr fontId="7" type="noConversion"/>
  </si>
  <si>
    <t>理财</t>
    <phoneticPr fontId="7" type="noConversion"/>
  </si>
  <si>
    <t>小计</t>
    <phoneticPr fontId="7" type="noConversion"/>
  </si>
  <si>
    <t>常熟银行</t>
  </si>
  <si>
    <t>4.应收款项类投资</t>
    <phoneticPr fontId="3" type="noConversion"/>
  </si>
  <si>
    <t>-</t>
    <phoneticPr fontId="7" type="noConversion"/>
  </si>
  <si>
    <t>企业债券</t>
  </si>
  <si>
    <t>信托及资管</t>
    <phoneticPr fontId="7" type="noConversion"/>
  </si>
  <si>
    <t>吴江银行</t>
  </si>
  <si>
    <t>张家港行</t>
  </si>
  <si>
    <t>理财</t>
    <phoneticPr fontId="7" type="noConversion"/>
  </si>
  <si>
    <t>其他</t>
    <phoneticPr fontId="7" type="noConversion"/>
  </si>
  <si>
    <t>应收账款类投资减值准备（组合计提）</t>
  </si>
  <si>
    <t>注：根据年报批注：政府主要是凭证式国债、储蓄式国债和地方政府债。</t>
    <phoneticPr fontId="2" type="noConversion"/>
  </si>
  <si>
    <t>交通银行</t>
    <phoneticPr fontId="3" type="noConversion"/>
  </si>
  <si>
    <t>5.应收账款</t>
    <phoneticPr fontId="3" type="noConversion"/>
  </si>
  <si>
    <t>金融机构债</t>
    <phoneticPr fontId="3" type="noConversion"/>
  </si>
  <si>
    <t>信托及资管</t>
    <phoneticPr fontId="3" type="noConversion"/>
  </si>
  <si>
    <t>小计</t>
    <phoneticPr fontId="3" type="noConversion"/>
  </si>
  <si>
    <t>减值准备</t>
    <phoneticPr fontId="3" type="noConversion"/>
  </si>
  <si>
    <r>
      <rPr>
        <sz val="11"/>
        <color theme="1"/>
        <rFont val="楷体"/>
        <family val="3"/>
        <charset val="134"/>
      </rPr>
      <t>分类</t>
    </r>
  </si>
  <si>
    <r>
      <rPr>
        <sz val="11"/>
        <color theme="1"/>
        <rFont val="楷体"/>
        <family val="3"/>
        <charset val="134"/>
      </rPr>
      <t>不良贷款拨备计提指导标准</t>
    </r>
  </si>
  <si>
    <r>
      <rPr>
        <sz val="11"/>
        <color theme="1"/>
        <rFont val="楷体"/>
        <family val="3"/>
        <charset val="134"/>
      </rPr>
      <t>国有行</t>
    </r>
    <phoneticPr fontId="2" type="noConversion"/>
  </si>
  <si>
    <r>
      <rPr>
        <sz val="11"/>
        <color theme="1"/>
        <rFont val="楷体"/>
        <family val="3"/>
        <charset val="134"/>
      </rPr>
      <t>正常</t>
    </r>
  </si>
  <si>
    <r>
      <rPr>
        <sz val="11"/>
        <color theme="1"/>
        <rFont val="楷体"/>
        <family val="3"/>
        <charset val="134"/>
      </rPr>
      <t>关注</t>
    </r>
  </si>
  <si>
    <r>
      <rPr>
        <sz val="11"/>
        <color theme="1"/>
        <rFont val="楷体"/>
        <family val="3"/>
        <charset val="134"/>
      </rPr>
      <t>城商行</t>
    </r>
    <phoneticPr fontId="2" type="noConversion"/>
  </si>
  <si>
    <r>
      <rPr>
        <sz val="11"/>
        <color theme="1"/>
        <rFont val="楷体"/>
        <family val="3"/>
        <charset val="134"/>
      </rPr>
      <t>次级</t>
    </r>
  </si>
  <si>
    <r>
      <rPr>
        <sz val="11"/>
        <color theme="1"/>
        <rFont val="楷体"/>
        <family val="3"/>
        <charset val="134"/>
      </rPr>
      <t>农商行</t>
    </r>
    <phoneticPr fontId="2" type="noConversion"/>
  </si>
  <si>
    <r>
      <rPr>
        <sz val="11"/>
        <color theme="1"/>
        <rFont val="楷体"/>
        <family val="3"/>
        <charset val="134"/>
      </rPr>
      <t>可疑</t>
    </r>
  </si>
  <si>
    <r>
      <rPr>
        <sz val="11"/>
        <color theme="1"/>
        <rFont val="楷体"/>
        <family val="3"/>
        <charset val="134"/>
      </rPr>
      <t>损失</t>
    </r>
  </si>
  <si>
    <r>
      <rPr>
        <sz val="11"/>
        <color theme="1"/>
        <rFont val="楷体"/>
        <family val="3"/>
        <charset val="134"/>
      </rPr>
      <t>类信贷分类总额</t>
    </r>
    <phoneticPr fontId="2" type="noConversion"/>
  </si>
  <si>
    <r>
      <rPr>
        <sz val="11"/>
        <color theme="1"/>
        <rFont val="楷体"/>
        <family val="3"/>
        <charset val="134"/>
      </rPr>
      <t>分类计提</t>
    </r>
    <phoneticPr fontId="2" type="noConversion"/>
  </si>
  <si>
    <r>
      <rPr>
        <sz val="11"/>
        <color theme="1"/>
        <rFont val="楷体"/>
        <family val="3"/>
        <charset val="134"/>
      </rPr>
      <t>正常</t>
    </r>
    <phoneticPr fontId="2" type="noConversion"/>
  </si>
  <si>
    <r>
      <rPr>
        <sz val="11"/>
        <color theme="1"/>
        <rFont val="楷体"/>
        <family val="3"/>
        <charset val="134"/>
      </rPr>
      <t>资产减值准备</t>
    </r>
    <phoneticPr fontId="2" type="noConversion"/>
  </si>
  <si>
    <r>
      <rPr>
        <sz val="11"/>
        <color theme="1"/>
        <rFont val="楷体"/>
        <family val="3"/>
        <charset val="134"/>
      </rPr>
      <t>应收款项减值准备</t>
    </r>
    <phoneticPr fontId="2" type="noConversion"/>
  </si>
  <si>
    <r>
      <rPr>
        <sz val="11"/>
        <color theme="1"/>
        <rFont val="楷体"/>
        <family val="3"/>
        <charset val="134"/>
      </rPr>
      <t>假如按照</t>
    </r>
    <r>
      <rPr>
        <sz val="11"/>
        <color theme="1"/>
        <rFont val="Times New Roman"/>
        <family val="1"/>
      </rPr>
      <t>1.5%</t>
    </r>
    <r>
      <rPr>
        <sz val="11"/>
        <color theme="1"/>
        <rFont val="楷体"/>
        <family val="3"/>
        <charset val="134"/>
      </rPr>
      <t>计提</t>
    </r>
    <phoneticPr fontId="2" type="noConversion"/>
  </si>
  <si>
    <r>
      <rPr>
        <sz val="11"/>
        <color theme="1"/>
        <rFont val="楷体"/>
        <family val="3"/>
        <charset val="134"/>
      </rPr>
      <t>建设银行</t>
    </r>
  </si>
  <si>
    <r>
      <rPr>
        <sz val="11"/>
        <color theme="1"/>
        <rFont val="楷体"/>
        <family val="3"/>
        <charset val="134"/>
      </rPr>
      <t>农业银行</t>
    </r>
  </si>
  <si>
    <r>
      <rPr>
        <sz val="11"/>
        <color theme="1"/>
        <rFont val="楷体"/>
        <family val="3"/>
        <charset val="134"/>
      </rPr>
      <t>中国银行</t>
    </r>
  </si>
  <si>
    <r>
      <rPr>
        <sz val="11"/>
        <color theme="1"/>
        <rFont val="楷体"/>
        <family val="3"/>
        <charset val="134"/>
      </rPr>
      <t>交通银行</t>
    </r>
  </si>
  <si>
    <r>
      <rPr>
        <sz val="11"/>
        <color theme="1"/>
        <rFont val="楷体"/>
        <family val="3"/>
        <charset val="134"/>
      </rPr>
      <t>招商银行</t>
    </r>
  </si>
  <si>
    <r>
      <rPr>
        <sz val="11"/>
        <color theme="1"/>
        <rFont val="楷体"/>
        <family val="3"/>
        <charset val="134"/>
      </rPr>
      <t>中信银行</t>
    </r>
  </si>
  <si>
    <r>
      <rPr>
        <sz val="11"/>
        <color theme="1"/>
        <rFont val="楷体"/>
        <family val="3"/>
        <charset val="134"/>
      </rPr>
      <t>浦发银行</t>
    </r>
  </si>
  <si>
    <r>
      <rPr>
        <sz val="11"/>
        <color theme="1"/>
        <rFont val="楷体"/>
        <family val="3"/>
        <charset val="134"/>
      </rPr>
      <t>民生银行</t>
    </r>
  </si>
  <si>
    <r>
      <rPr>
        <sz val="11"/>
        <color theme="1"/>
        <rFont val="楷体"/>
        <family val="3"/>
        <charset val="134"/>
      </rPr>
      <t>兴业银行</t>
    </r>
  </si>
  <si>
    <r>
      <rPr>
        <sz val="11"/>
        <color theme="1"/>
        <rFont val="楷体"/>
        <family val="3"/>
        <charset val="134"/>
      </rPr>
      <t>光大银行</t>
    </r>
  </si>
  <si>
    <r>
      <rPr>
        <sz val="11"/>
        <color theme="1"/>
        <rFont val="楷体"/>
        <family val="3"/>
        <charset val="134"/>
      </rPr>
      <t>华夏银行</t>
    </r>
  </si>
  <si>
    <r>
      <rPr>
        <sz val="11"/>
        <color theme="1"/>
        <rFont val="楷体"/>
        <family val="3"/>
        <charset val="134"/>
      </rPr>
      <t>平安银行</t>
    </r>
  </si>
  <si>
    <r>
      <rPr>
        <sz val="11"/>
        <color theme="1"/>
        <rFont val="楷体"/>
        <family val="3"/>
        <charset val="134"/>
      </rPr>
      <t>北京银行</t>
    </r>
  </si>
  <si>
    <r>
      <rPr>
        <sz val="11"/>
        <color theme="1"/>
        <rFont val="楷体"/>
        <family val="3"/>
        <charset val="134"/>
      </rPr>
      <t>南京银行</t>
    </r>
  </si>
  <si>
    <r>
      <rPr>
        <sz val="11"/>
        <color theme="1"/>
        <rFont val="楷体"/>
        <family val="3"/>
        <charset val="134"/>
      </rPr>
      <t>宁波银行</t>
    </r>
  </si>
  <si>
    <r>
      <rPr>
        <sz val="11"/>
        <color theme="1"/>
        <rFont val="楷体"/>
        <family val="3"/>
        <charset val="134"/>
      </rPr>
      <t>上海银行</t>
    </r>
  </si>
  <si>
    <r>
      <rPr>
        <sz val="11"/>
        <color theme="1"/>
        <rFont val="楷体"/>
        <family val="3"/>
        <charset val="134"/>
      </rPr>
      <t>贵阳银行</t>
    </r>
  </si>
  <si>
    <r>
      <rPr>
        <sz val="11"/>
        <color theme="1"/>
        <rFont val="楷体"/>
        <family val="3"/>
        <charset val="134"/>
      </rPr>
      <t>杭州银行</t>
    </r>
  </si>
  <si>
    <r>
      <rPr>
        <sz val="11"/>
        <color theme="1"/>
        <rFont val="楷体"/>
        <family val="3"/>
        <charset val="134"/>
      </rPr>
      <t>江苏银行</t>
    </r>
  </si>
  <si>
    <r>
      <rPr>
        <sz val="11"/>
        <color theme="1"/>
        <rFont val="楷体"/>
        <family val="3"/>
        <charset val="134"/>
      </rPr>
      <t>无锡银行</t>
    </r>
  </si>
  <si>
    <r>
      <rPr>
        <sz val="11"/>
        <color theme="1"/>
        <rFont val="楷体"/>
        <family val="3"/>
        <charset val="134"/>
      </rPr>
      <t>常熟银行</t>
    </r>
  </si>
  <si>
    <r>
      <rPr>
        <sz val="11"/>
        <color theme="1"/>
        <rFont val="楷体"/>
        <family val="3"/>
        <charset val="134"/>
      </rPr>
      <t>江阴银行</t>
    </r>
  </si>
  <si>
    <r>
      <rPr>
        <sz val="11"/>
        <color theme="1"/>
        <rFont val="楷体"/>
        <family val="3"/>
        <charset val="134"/>
      </rPr>
      <t>吴江银行</t>
    </r>
  </si>
  <si>
    <r>
      <rPr>
        <sz val="11"/>
        <color theme="1"/>
        <rFont val="楷体"/>
        <family val="3"/>
        <charset val="134"/>
      </rPr>
      <t>张家港行</t>
    </r>
  </si>
  <si>
    <t xml:space="preserve"> </t>
    <phoneticPr fontId="2" type="noConversion"/>
  </si>
  <si>
    <r>
      <rPr>
        <sz val="18"/>
        <color theme="1"/>
        <rFont val="楷体"/>
        <family val="3"/>
        <charset val="134"/>
      </rPr>
      <t>假设</t>
    </r>
    <phoneticPr fontId="2" type="noConversion"/>
  </si>
  <si>
    <r>
      <rPr>
        <sz val="11"/>
        <color theme="1"/>
        <rFont val="楷体"/>
        <family val="3"/>
        <charset val="134"/>
      </rPr>
      <t>假设：类信贷占调整后的非标比重</t>
    </r>
    <phoneticPr fontId="2" type="noConversion"/>
  </si>
  <si>
    <r>
      <rPr>
        <sz val="11"/>
        <color theme="1"/>
        <rFont val="楷体"/>
        <family val="3"/>
        <charset val="134"/>
      </rPr>
      <t>假设：应收款项类其他项计提比例</t>
    </r>
    <phoneticPr fontId="2" type="noConversion"/>
  </si>
  <si>
    <r>
      <rPr>
        <sz val="11"/>
        <color theme="1"/>
        <rFont val="楷体"/>
        <family val="3"/>
        <charset val="134"/>
      </rPr>
      <t>股份行</t>
    </r>
    <phoneticPr fontId="2" type="noConversion"/>
  </si>
  <si>
    <r>
      <rPr>
        <sz val="11"/>
        <color theme="1"/>
        <rFont val="楷体"/>
        <family val="3"/>
        <charset val="134"/>
      </rPr>
      <t>按照兴业银行倒推：</t>
    </r>
    <phoneticPr fontId="2" type="noConversion"/>
  </si>
  <si>
    <r>
      <rPr>
        <sz val="11"/>
        <color theme="1"/>
        <rFont val="楷体"/>
        <family val="3"/>
        <charset val="134"/>
      </rPr>
      <t>单位：亿元</t>
    </r>
    <phoneticPr fontId="2" type="noConversion"/>
  </si>
  <si>
    <r>
      <rPr>
        <sz val="11"/>
        <color theme="1"/>
        <rFont val="楷体"/>
        <family val="3"/>
        <charset val="134"/>
      </rPr>
      <t>银行</t>
    </r>
    <phoneticPr fontId="2" type="noConversion"/>
  </si>
  <si>
    <r>
      <rPr>
        <sz val="11"/>
        <color theme="1"/>
        <rFont val="楷体"/>
        <family val="3"/>
        <charset val="134"/>
      </rPr>
      <t>非债券类非标资产</t>
    </r>
    <phoneticPr fontId="2" type="noConversion"/>
  </si>
  <si>
    <r>
      <rPr>
        <sz val="11"/>
        <color theme="1"/>
        <rFont val="楷体"/>
        <family val="3"/>
        <charset val="134"/>
      </rPr>
      <t>类信贷资产总额</t>
    </r>
    <r>
      <rPr>
        <sz val="11"/>
        <color theme="1"/>
        <rFont val="Times New Roman"/>
        <family val="1"/>
      </rPr>
      <t>E</t>
    </r>
    <phoneticPr fontId="2" type="noConversion"/>
  </si>
  <si>
    <r>
      <rPr>
        <sz val="11"/>
        <color theme="1"/>
        <rFont val="楷体"/>
        <family val="3"/>
        <charset val="134"/>
      </rPr>
      <t>类信贷类测算计提加总</t>
    </r>
    <phoneticPr fontId="2" type="noConversion"/>
  </si>
  <si>
    <r>
      <rPr>
        <sz val="11"/>
        <color theme="1"/>
        <rFont val="楷体"/>
        <family val="3"/>
        <charset val="134"/>
      </rPr>
      <t>相对</t>
    </r>
    <r>
      <rPr>
        <sz val="11"/>
        <color theme="1"/>
        <rFont val="Times New Roman"/>
        <family val="1"/>
      </rPr>
      <t>1.5%</t>
    </r>
    <r>
      <rPr>
        <sz val="11"/>
        <color theme="1"/>
        <rFont val="楷体"/>
        <family val="3"/>
        <charset val="134"/>
      </rPr>
      <t>新增计提（对利润的影响）</t>
    </r>
    <phoneticPr fontId="2" type="noConversion"/>
  </si>
  <si>
    <r>
      <rPr>
        <sz val="11"/>
        <color theme="1"/>
        <rFont val="楷体"/>
        <family val="3"/>
        <charset val="134"/>
      </rPr>
      <t>净利润</t>
    </r>
    <phoneticPr fontId="2" type="noConversion"/>
  </si>
  <si>
    <r>
      <rPr>
        <sz val="11"/>
        <color theme="1"/>
        <rFont val="楷体"/>
        <family val="3"/>
        <charset val="134"/>
      </rPr>
      <t>对净利润的影响</t>
    </r>
    <phoneticPr fontId="2" type="noConversion"/>
  </si>
  <si>
    <r>
      <rPr>
        <sz val="11"/>
        <color theme="1"/>
        <rFont val="楷体"/>
        <family val="3"/>
        <charset val="134"/>
      </rPr>
      <t>工商银行</t>
    </r>
    <phoneticPr fontId="2" type="noConversion"/>
  </si>
  <si>
    <r>
      <rPr>
        <sz val="11"/>
        <color theme="1"/>
        <rFont val="楷体"/>
        <family val="3"/>
        <charset val="134"/>
      </rPr>
      <t>股份行</t>
    </r>
    <phoneticPr fontId="2" type="noConversion"/>
  </si>
  <si>
    <r>
      <rPr>
        <sz val="11"/>
        <color theme="1"/>
        <rFont val="楷体"/>
        <family val="3"/>
        <charset val="134"/>
      </rPr>
      <t>农商行</t>
    </r>
    <phoneticPr fontId="2" type="noConversion"/>
  </si>
  <si>
    <r>
      <rPr>
        <sz val="11"/>
        <color theme="1"/>
        <rFont val="楷体"/>
        <family val="3"/>
        <charset val="134"/>
      </rPr>
      <t>数据源</t>
    </r>
    <phoneticPr fontId="2" type="noConversion"/>
  </si>
  <si>
    <r>
      <rPr>
        <sz val="11"/>
        <color theme="1"/>
        <rFont val="楷体"/>
        <family val="3"/>
        <charset val="134"/>
      </rPr>
      <t>单位</t>
    </r>
    <r>
      <rPr>
        <sz val="11"/>
        <color theme="1"/>
        <rFont val="Times New Roman"/>
        <family val="1"/>
      </rPr>
      <t>:</t>
    </r>
    <r>
      <rPr>
        <sz val="11"/>
        <color theme="1"/>
        <rFont val="楷体"/>
        <family val="3"/>
        <charset val="134"/>
      </rPr>
      <t>亿元</t>
    </r>
    <phoneticPr fontId="2" type="noConversion"/>
  </si>
  <si>
    <r>
      <rPr>
        <sz val="11"/>
        <color theme="1"/>
        <rFont val="楷体"/>
        <family val="3"/>
        <charset val="134"/>
      </rPr>
      <t>占比</t>
    </r>
    <phoneticPr fontId="2" type="noConversion"/>
  </si>
  <si>
    <r>
      <rPr>
        <sz val="11"/>
        <color theme="1"/>
        <rFont val="楷体"/>
        <family val="3"/>
        <charset val="134"/>
      </rPr>
      <t>五级分类</t>
    </r>
    <phoneticPr fontId="2" type="noConversion"/>
  </si>
  <si>
    <r>
      <rPr>
        <sz val="11"/>
        <color theme="1"/>
        <rFont val="楷体"/>
        <family val="3"/>
        <charset val="134"/>
      </rPr>
      <t>贷款总额</t>
    </r>
    <phoneticPr fontId="2" type="noConversion"/>
  </si>
  <si>
    <r>
      <rPr>
        <sz val="11"/>
        <color theme="1"/>
        <rFont val="楷体"/>
        <family val="3"/>
        <charset val="134"/>
      </rPr>
      <t>正常</t>
    </r>
    <phoneticPr fontId="2" type="noConversion"/>
  </si>
  <si>
    <r>
      <rPr>
        <sz val="11"/>
        <color theme="1"/>
        <rFont val="楷体"/>
        <family val="3"/>
        <charset val="134"/>
      </rPr>
      <t>应收款项减值准备</t>
    </r>
    <phoneticPr fontId="2" type="noConversion"/>
  </si>
  <si>
    <r>
      <rPr>
        <sz val="11"/>
        <color theme="1"/>
        <rFont val="楷体"/>
        <family val="3"/>
        <charset val="134"/>
      </rPr>
      <t>净利润</t>
    </r>
    <phoneticPr fontId="2" type="noConversion"/>
  </si>
  <si>
    <t>测算原理：目前银监会对各家银行应收款项类投资中的类信贷部分计提减值准备未有明确规定，各家银行实际计提标准或有所差异。我们将各家银行应收款项中类信贷部分按照贷款余额中的五级分类比例进行划分，并按照不同比例相应计提减值准备，与2017H银行中报应收款项类科目减值准备科目余额对比，测算各家银行应收款项类投资减值准备缺口，及其对净利润的影响。假设不同，测算结果有所不同，测算结果或与实际情况有所出入，仅供参考。</t>
    <phoneticPr fontId="2" type="noConversion"/>
  </si>
  <si>
    <t xml:space="preserve"> </t>
    <phoneticPr fontId="2" type="noConversion"/>
  </si>
  <si>
    <t>2017H</t>
  </si>
  <si>
    <t>信托</t>
    <phoneticPr fontId="3" type="noConversion"/>
  </si>
  <si>
    <t>城商行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</si>
</sst>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Red]\(0.00\)"/>
    <numFmt numFmtId="177" formatCode="0.00000"/>
    <numFmt numFmtId="178" formatCode="#,##0.000"/>
    <numFmt numFmtId="179" formatCode="0.0000000000"/>
    <numFmt numFmtId="180" formatCode="0.00_ "/>
    <numFmt numFmtId="181" formatCode="0.0000_ "/>
    <numFmt numFmtId="182" formatCode="###,###,##0.0000"/>
    <numFmt numFmtId="183" formatCode="###,###,##0.00"/>
    <numFmt numFmtId="184" formatCode="0.0%"/>
    <numFmt numFmtId="185" formatCode="0.0000"/>
    <numFmt numFmtId="186" formatCode="###,###,##0.000"/>
    <numFmt numFmtId="188" formatCode="0.00000_ "/>
  </numFmts>
  <fonts count="12" x14ac:knownFonts="1">
    <font>
      <sz val="11"/>
      <color theme="1"/>
      <name val="等线"/>
      <family val="2"/>
      <scheme val="minor"/>
    </font>
    <font>
      <sz val="10"/>
      <name val="黑体"/>
      <family val="3"/>
      <charset val="134"/>
    </font>
    <font>
      <sz val="9"/>
      <name val="等线"/>
      <family val="3"/>
      <charset val="134"/>
      <scheme val="minor"/>
    </font>
    <font>
      <sz val="9"/>
      <name val="等线"/>
      <family val="2"/>
      <charset val="134"/>
      <scheme val="minor"/>
    </font>
    <font>
      <sz val="10"/>
      <color theme="1"/>
      <name val="黑体"/>
      <family val="3"/>
      <charset val="134"/>
    </font>
    <font>
      <sz val="9"/>
      <color theme="1"/>
      <name val="Times New Roman"/>
      <family val="1"/>
    </font>
    <font>
      <sz val="11"/>
      <color theme="1"/>
      <name val="Times New Roman"/>
      <family val="1"/>
    </font>
    <font>
      <sz val="11"/>
      <color theme="1"/>
      <name val="等线"/>
      <family val="2"/>
      <charset val="134"/>
      <scheme val="minor"/>
    </font>
    <font>
      <sz val="11"/>
      <color theme="1"/>
      <name val="等线"/>
      <family val="2"/>
      <scheme val="minor"/>
    </font>
    <font>
      <sz val="11"/>
      <color theme="1"/>
      <name val="楷体"/>
      <family val="3"/>
      <charset val="134"/>
    </font>
    <font>
      <sz val="18"/>
      <color theme="1"/>
      <name val="楷体"/>
      <family val="3"/>
      <charset val="134"/>
    </font>
    <font>
      <sz val="18"/>
      <color theme="1"/>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7" fillId="0" borderId="0"/>
    <xf numFmtId="9" fontId="8" fillId="0" borderId="0" applyFont="0" applyFill="0" applyBorder="0" applyAlignment="0" applyProtection="0">
      <alignment vertical="center"/>
    </xf>
  </cellStyleXfs>
  <cellXfs count="104">
    <xf numFmtId="0" fontId="0" fillId="0" borderId="0" xfId="0"/>
    <xf numFmtId="0" fontId="1" fillId="2" borderId="1" xfId="0" applyFont="1" applyFill="1" applyBorder="1" applyAlignment="1">
      <alignment horizontal="left" vertical="center"/>
    </xf>
    <xf numFmtId="0" fontId="4" fillId="0" borderId="0" xfId="0" applyFont="1" applyFill="1" applyAlignment="1">
      <alignment horizontal="left" vertical="center"/>
    </xf>
    <xf numFmtId="0" fontId="4" fillId="2" borderId="1" xfId="0" applyFont="1" applyFill="1" applyBorder="1" applyAlignment="1">
      <alignment horizontal="left" vertical="center"/>
    </xf>
    <xf numFmtId="176" fontId="5" fillId="3" borderId="0" xfId="0" applyNumberFormat="1" applyFont="1" applyFill="1" applyBorder="1" applyAlignment="1">
      <alignment vertical="center"/>
    </xf>
    <xf numFmtId="3" fontId="0" fillId="0" borderId="0" xfId="0" applyNumberFormat="1" applyAlignment="1">
      <alignment vertical="center"/>
    </xf>
    <xf numFmtId="176" fontId="6" fillId="0" borderId="0" xfId="0" applyNumberFormat="1" applyFont="1" applyAlignment="1">
      <alignment vertical="center"/>
    </xf>
    <xf numFmtId="0" fontId="4" fillId="4" borderId="1" xfId="0" applyFont="1" applyFill="1" applyBorder="1" applyAlignment="1">
      <alignment horizontal="left" vertical="center"/>
    </xf>
    <xf numFmtId="0" fontId="4" fillId="5" borderId="1" xfId="0" applyFont="1" applyFill="1" applyBorder="1" applyAlignment="1">
      <alignment horizontal="left" vertical="center"/>
    </xf>
    <xf numFmtId="0" fontId="4" fillId="2" borderId="0" xfId="0" applyFont="1" applyFill="1" applyAlignment="1">
      <alignment horizontal="left" vertical="center"/>
    </xf>
    <xf numFmtId="2" fontId="4" fillId="0" borderId="0" xfId="0" applyNumberFormat="1" applyFont="1" applyFill="1" applyAlignment="1">
      <alignment horizontal="left" vertical="center"/>
    </xf>
    <xf numFmtId="0" fontId="5" fillId="3" borderId="0" xfId="0" applyFont="1" applyFill="1" applyBorder="1" applyAlignment="1">
      <alignment vertical="center"/>
    </xf>
    <xf numFmtId="176" fontId="6" fillId="0" borderId="0" xfId="0" applyNumberFormat="1" applyFont="1" applyBorder="1" applyAlignment="1">
      <alignment vertical="center"/>
    </xf>
    <xf numFmtId="177" fontId="4" fillId="0" borderId="0" xfId="0" applyNumberFormat="1" applyFont="1" applyFill="1" applyAlignment="1">
      <alignment horizontal="left" vertical="center"/>
    </xf>
    <xf numFmtId="4" fontId="0" fillId="0" borderId="0" xfId="0" applyNumberFormat="1" applyAlignment="1">
      <alignment vertical="center"/>
    </xf>
    <xf numFmtId="3" fontId="0" fillId="0" borderId="0" xfId="0" applyNumberFormat="1" applyAlignment="1">
      <alignment horizontal="left" vertical="center"/>
    </xf>
    <xf numFmtId="176" fontId="0" fillId="0" borderId="0" xfId="0" applyNumberFormat="1"/>
    <xf numFmtId="0" fontId="4" fillId="6" borderId="0" xfId="0" applyFont="1" applyFill="1" applyAlignment="1">
      <alignment horizontal="left" vertical="center"/>
    </xf>
    <xf numFmtId="176" fontId="5" fillId="6" borderId="0" xfId="0" applyNumberFormat="1" applyFont="1" applyFill="1" applyBorder="1" applyAlignment="1">
      <alignment vertical="center"/>
    </xf>
    <xf numFmtId="176" fontId="6" fillId="6" borderId="0" xfId="0" applyNumberFormat="1" applyFont="1" applyFill="1" applyAlignment="1">
      <alignment vertical="center"/>
    </xf>
    <xf numFmtId="0" fontId="4" fillId="4" borderId="1" xfId="1" applyFont="1" applyFill="1" applyBorder="1" applyAlignment="1">
      <alignment horizontal="left"/>
    </xf>
    <xf numFmtId="0" fontId="4" fillId="0" borderId="0" xfId="1" applyFont="1" applyFill="1" applyAlignment="1">
      <alignment horizontal="left"/>
    </xf>
    <xf numFmtId="177" fontId="4" fillId="0" borderId="0" xfId="1" applyNumberFormat="1" applyFont="1" applyFill="1" applyAlignment="1">
      <alignment horizontal="left"/>
    </xf>
    <xf numFmtId="0" fontId="4" fillId="2" borderId="1" xfId="1" applyFont="1" applyFill="1" applyBorder="1" applyAlignment="1">
      <alignment horizontal="left" vertical="center"/>
    </xf>
    <xf numFmtId="0" fontId="4" fillId="0" borderId="0" xfId="1" applyFont="1" applyFill="1" applyAlignment="1">
      <alignment horizontal="left" vertical="center"/>
    </xf>
    <xf numFmtId="0" fontId="4" fillId="4" borderId="1" xfId="1" applyFont="1" applyFill="1" applyBorder="1" applyAlignment="1">
      <alignment horizontal="left" vertical="center"/>
    </xf>
    <xf numFmtId="177" fontId="4" fillId="0" borderId="0" xfId="1" applyNumberFormat="1" applyFont="1" applyFill="1" applyAlignment="1">
      <alignment horizontal="left" vertical="center"/>
    </xf>
    <xf numFmtId="0" fontId="4" fillId="0" borderId="0" xfId="1" applyFont="1" applyFill="1" applyBorder="1" applyAlignment="1">
      <alignment horizontal="left" vertical="center"/>
    </xf>
    <xf numFmtId="178" fontId="0" fillId="0" borderId="0" xfId="0" applyNumberFormat="1" applyAlignment="1">
      <alignment vertical="center"/>
    </xf>
    <xf numFmtId="179" fontId="4" fillId="0" borderId="0" xfId="1" applyNumberFormat="1" applyFont="1" applyFill="1" applyAlignment="1">
      <alignment horizontal="left" vertical="center"/>
    </xf>
    <xf numFmtId="0" fontId="4" fillId="6" borderId="0" xfId="1" applyFont="1" applyFill="1" applyAlignment="1">
      <alignment horizontal="left"/>
    </xf>
    <xf numFmtId="0" fontId="4" fillId="6" borderId="0" xfId="1" applyFont="1" applyFill="1" applyAlignment="1">
      <alignment horizontal="left" vertical="center"/>
    </xf>
    <xf numFmtId="180" fontId="0" fillId="0" borderId="0" xfId="0" applyNumberFormat="1"/>
    <xf numFmtId="181" fontId="0" fillId="0" borderId="0" xfId="0" applyNumberFormat="1"/>
    <xf numFmtId="3" fontId="0" fillId="0" borderId="0" xfId="0" applyNumberFormat="1"/>
    <xf numFmtId="177" fontId="0" fillId="0" borderId="0" xfId="0" applyNumberFormat="1"/>
    <xf numFmtId="178" fontId="0" fillId="0" borderId="0" xfId="0" applyNumberFormat="1"/>
    <xf numFmtId="4" fontId="0" fillId="0" borderId="0" xfId="0" applyNumberFormat="1"/>
    <xf numFmtId="0" fontId="6" fillId="0" borderId="0" xfId="0" applyFont="1"/>
    <xf numFmtId="9" fontId="6" fillId="0" borderId="0" xfId="0" applyNumberFormat="1" applyFont="1"/>
    <xf numFmtId="10" fontId="6" fillId="0" borderId="0" xfId="0" applyNumberFormat="1" applyFont="1"/>
    <xf numFmtId="2" fontId="6" fillId="0" borderId="0" xfId="0" applyNumberFormat="1" applyFont="1"/>
    <xf numFmtId="176" fontId="6" fillId="0" borderId="0" xfId="0" applyNumberFormat="1" applyFont="1"/>
    <xf numFmtId="182" fontId="6" fillId="0" borderId="0" xfId="0" applyNumberFormat="1" applyFont="1"/>
    <xf numFmtId="184" fontId="6" fillId="0" borderId="0" xfId="2" applyNumberFormat="1" applyFont="1" applyAlignment="1"/>
    <xf numFmtId="185" fontId="6" fillId="0" borderId="0" xfId="0" applyNumberFormat="1" applyFont="1"/>
    <xf numFmtId="0" fontId="6" fillId="4" borderId="0" xfId="0" applyFont="1" applyFill="1"/>
    <xf numFmtId="14" fontId="6" fillId="0" borderId="0" xfId="0" applyNumberFormat="1" applyFont="1"/>
    <xf numFmtId="183" fontId="6" fillId="0" borderId="0" xfId="0" applyNumberFormat="1" applyFont="1"/>
    <xf numFmtId="10" fontId="6" fillId="0" borderId="0" xfId="2" applyNumberFormat="1" applyFont="1" applyAlignment="1"/>
    <xf numFmtId="3" fontId="6" fillId="0" borderId="0" xfId="0" applyNumberFormat="1" applyFont="1"/>
    <xf numFmtId="0" fontId="6" fillId="0" borderId="2" xfId="0" applyFont="1" applyBorder="1"/>
    <xf numFmtId="0" fontId="6" fillId="0" borderId="6" xfId="0" applyFont="1" applyBorder="1"/>
    <xf numFmtId="2" fontId="6" fillId="0" borderId="6" xfId="0" applyNumberFormat="1" applyFont="1" applyBorder="1"/>
    <xf numFmtId="176" fontId="6" fillId="0" borderId="6" xfId="0" applyNumberFormat="1" applyFont="1" applyBorder="1"/>
    <xf numFmtId="0" fontId="6" fillId="0" borderId="0" xfId="0" applyFont="1" applyBorder="1"/>
    <xf numFmtId="2" fontId="6" fillId="0" borderId="0" xfId="0" applyNumberFormat="1" applyFont="1" applyBorder="1"/>
    <xf numFmtId="176" fontId="6" fillId="0" borderId="0" xfId="0" applyNumberFormat="1" applyFont="1" applyBorder="1"/>
    <xf numFmtId="2" fontId="6" fillId="0" borderId="2" xfId="0" applyNumberFormat="1" applyFont="1" applyBorder="1"/>
    <xf numFmtId="176" fontId="6" fillId="0" borderId="2" xfId="0" applyNumberFormat="1" applyFont="1" applyBorder="1"/>
    <xf numFmtId="184" fontId="6" fillId="0" borderId="2" xfId="2" applyNumberFormat="1" applyFont="1" applyBorder="1" applyAlignment="1"/>
    <xf numFmtId="176" fontId="6" fillId="0" borderId="9" xfId="0" applyNumberFormat="1" applyFont="1" applyBorder="1"/>
    <xf numFmtId="176" fontId="6" fillId="0" borderId="7" xfId="0" applyNumberFormat="1" applyFont="1" applyBorder="1"/>
    <xf numFmtId="176" fontId="6" fillId="0" borderId="8" xfId="0" applyNumberFormat="1" applyFont="1" applyBorder="1"/>
    <xf numFmtId="176" fontId="6" fillId="0" borderId="5" xfId="0" applyNumberFormat="1" applyFont="1" applyBorder="1"/>
    <xf numFmtId="176" fontId="6" fillId="0" borderId="3" xfId="0" applyNumberFormat="1" applyFont="1" applyBorder="1"/>
    <xf numFmtId="176" fontId="6" fillId="0" borderId="4" xfId="0" applyNumberFormat="1" applyFont="1" applyBorder="1"/>
    <xf numFmtId="176" fontId="6" fillId="4" borderId="6" xfId="0" applyNumberFormat="1" applyFont="1" applyFill="1" applyBorder="1"/>
    <xf numFmtId="176" fontId="6" fillId="4" borderId="0" xfId="0" applyNumberFormat="1" applyFont="1" applyFill="1" applyBorder="1"/>
    <xf numFmtId="176" fontId="6" fillId="4" borderId="2" xfId="0" applyNumberFormat="1" applyFont="1" applyFill="1" applyBorder="1"/>
    <xf numFmtId="176" fontId="6" fillId="4" borderId="0" xfId="0" applyNumberFormat="1" applyFont="1" applyFill="1"/>
    <xf numFmtId="183" fontId="6" fillId="0" borderId="6" xfId="0" applyNumberFormat="1" applyFont="1" applyBorder="1"/>
    <xf numFmtId="183" fontId="6" fillId="0" borderId="0" xfId="0" applyNumberFormat="1" applyFont="1" applyBorder="1"/>
    <xf numFmtId="183" fontId="6" fillId="0" borderId="2" xfId="0" applyNumberFormat="1" applyFont="1" applyBorder="1"/>
    <xf numFmtId="0" fontId="6" fillId="0" borderId="0" xfId="0" applyFont="1" applyAlignment="1">
      <alignment wrapText="1"/>
    </xf>
    <xf numFmtId="9" fontId="6" fillId="6" borderId="0" xfId="0" applyNumberFormat="1" applyFont="1" applyFill="1"/>
    <xf numFmtId="10" fontId="6" fillId="6" borderId="0" xfId="0" applyNumberFormat="1" applyFont="1" applyFill="1"/>
    <xf numFmtId="0" fontId="6" fillId="0" borderId="4" xfId="0" applyFont="1" applyBorder="1" applyAlignment="1">
      <alignment horizontal="center"/>
    </xf>
    <xf numFmtId="0" fontId="6" fillId="0" borderId="2" xfId="0" applyFont="1" applyBorder="1" applyAlignment="1">
      <alignment horizontal="center"/>
    </xf>
    <xf numFmtId="0" fontId="6" fillId="0" borderId="8" xfId="0" applyFont="1" applyBorder="1" applyAlignment="1">
      <alignment horizontal="center"/>
    </xf>
    <xf numFmtId="0" fontId="6" fillId="0" borderId="0" xfId="0" applyFont="1" applyAlignment="1">
      <alignment horizontal="center"/>
    </xf>
    <xf numFmtId="10" fontId="6" fillId="6" borderId="0" xfId="2" applyNumberFormat="1" applyFont="1" applyFill="1" applyAlignment="1"/>
    <xf numFmtId="0" fontId="6" fillId="4" borderId="2" xfId="0" applyFont="1" applyFill="1" applyBorder="1" applyAlignment="1">
      <alignment horizontal="center"/>
    </xf>
    <xf numFmtId="186" fontId="6" fillId="0" borderId="0" xfId="0" applyNumberFormat="1" applyFont="1"/>
    <xf numFmtId="0" fontId="4" fillId="7" borderId="0" xfId="0" applyFont="1" applyFill="1" applyAlignment="1">
      <alignment horizontal="left" vertical="center"/>
    </xf>
    <xf numFmtId="176" fontId="6" fillId="7" borderId="0" xfId="0" applyNumberFormat="1" applyFont="1" applyFill="1" applyAlignment="1">
      <alignment vertical="center"/>
    </xf>
    <xf numFmtId="176" fontId="4" fillId="0" borderId="0" xfId="0" applyNumberFormat="1" applyFont="1" applyFill="1" applyAlignment="1">
      <alignment horizontal="left" vertical="center"/>
    </xf>
    <xf numFmtId="0" fontId="6" fillId="0" borderId="3" xfId="0" applyFont="1" applyBorder="1" applyAlignment="1">
      <alignment horizontal="center" vertical="center"/>
    </xf>
    <xf numFmtId="0" fontId="6" fillId="0" borderId="7" xfId="0" applyFont="1" applyBorder="1" applyAlignment="1">
      <alignment horizontal="center"/>
    </xf>
    <xf numFmtId="0" fontId="6" fillId="0" borderId="0" xfId="0" applyFont="1" applyBorder="1" applyAlignment="1">
      <alignment horizontal="center"/>
    </xf>
    <xf numFmtId="0" fontId="6" fillId="0" borderId="3" xfId="0" applyFont="1" applyBorder="1" applyAlignment="1">
      <alignment horizontal="center"/>
    </xf>
    <xf numFmtId="0" fontId="9" fillId="0" borderId="0" xfId="0" applyFont="1" applyAlignment="1">
      <alignment horizontal="left" vertical="center" wrapText="1"/>
    </xf>
    <xf numFmtId="0" fontId="11" fillId="0" borderId="0" xfId="0" applyFont="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6" borderId="0" xfId="1" applyFont="1" applyFill="1" applyBorder="1" applyAlignment="1">
      <alignment horizontal="left" vertical="center"/>
    </xf>
    <xf numFmtId="3" fontId="4" fillId="0" borderId="0" xfId="0" applyNumberFormat="1" applyFont="1" applyFill="1" applyAlignment="1">
      <alignment horizontal="left" vertical="center"/>
    </xf>
    <xf numFmtId="2" fontId="0" fillId="0" borderId="0" xfId="0" applyNumberFormat="1"/>
    <xf numFmtId="182" fontId="0" fillId="0" borderId="0" xfId="0" applyNumberFormat="1"/>
    <xf numFmtId="14" fontId="0" fillId="0" borderId="0" xfId="0" applyNumberFormat="1"/>
    <xf numFmtId="188" fontId="0" fillId="0" borderId="0" xfId="0" applyNumberFormat="1"/>
    <xf numFmtId="188" fontId="4" fillId="0" borderId="0" xfId="0" applyNumberFormat="1" applyFont="1" applyFill="1" applyAlignment="1">
      <alignment horizontal="left" vertical="center"/>
    </xf>
    <xf numFmtId="0" fontId="9" fillId="0" borderId="5" xfId="0" applyFont="1" applyBorder="1" applyAlignment="1">
      <alignment horizontal="center" vertical="center"/>
    </xf>
    <xf numFmtId="176" fontId="6" fillId="6" borderId="0" xfId="0" applyNumberFormat="1" applyFont="1" applyFill="1" applyBorder="1" applyAlignment="1">
      <alignment vertical="center"/>
    </xf>
  </cellXfs>
  <cellStyles count="3">
    <cellStyle name="百分比" xfId="2" builtinId="5"/>
    <cellStyle name="常规" xfId="0" builtinId="0"/>
    <cellStyle name="常规 2" xfId="1"/>
  </cellStyles>
  <dxfs count="11">
    <dxf>
      <font>
        <b val="0"/>
        <i val="0"/>
        <strike val="0"/>
        <condense val="0"/>
        <extend val="0"/>
        <outline val="0"/>
        <shadow val="0"/>
        <u val="none"/>
        <vertAlign val="baseline"/>
        <sz val="11"/>
        <color theme="1"/>
        <name val="Times New Roman"/>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Times New Roman"/>
        <scheme val="none"/>
      </font>
      <numFmt numFmtId="13" formatCode="0%"/>
      <fill>
        <patternFill patternType="solid">
          <fgColor indexed="64"/>
          <bgColor theme="2"/>
        </patternFill>
      </fill>
    </dxf>
    <dxf>
      <font>
        <b val="0"/>
        <i val="0"/>
        <strike val="0"/>
        <condense val="0"/>
        <extend val="0"/>
        <outline val="0"/>
        <shadow val="0"/>
        <u val="none"/>
        <vertAlign val="baseline"/>
        <sz val="11"/>
        <color theme="1"/>
        <name val="Times New Roman"/>
        <scheme val="none"/>
      </font>
    </dxf>
    <dxf>
      <font>
        <strike val="0"/>
        <outline val="0"/>
        <shadow val="0"/>
        <u val="none"/>
        <vertAlign val="baseline"/>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numFmt numFmtId="13" formatCode="0%"/>
      <fill>
        <patternFill patternType="solid">
          <fgColor indexed="64"/>
          <bgColor theme="2"/>
        </patternFill>
      </fill>
    </dxf>
    <dxf>
      <font>
        <b val="0"/>
        <i val="0"/>
        <strike val="0"/>
        <condense val="0"/>
        <extend val="0"/>
        <outline val="0"/>
        <shadow val="0"/>
        <u val="none"/>
        <vertAlign val="baseline"/>
        <sz val="11"/>
        <color theme="1"/>
        <name val="Times New Roman"/>
        <scheme val="none"/>
      </font>
    </dxf>
    <dxf>
      <font>
        <strike val="0"/>
        <outline val="0"/>
        <shadow val="0"/>
        <u val="none"/>
        <vertAlign val="baseline"/>
        <color theme="1"/>
        <name val="Times New Roman"/>
        <scheme val="none"/>
      </font>
    </dxf>
    <dxf>
      <font>
        <b val="0"/>
        <i val="0"/>
        <strike val="0"/>
        <condense val="0"/>
        <extend val="0"/>
        <outline val="0"/>
        <shadow val="0"/>
        <u val="none"/>
        <vertAlign val="baseline"/>
        <sz val="11"/>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stm07_bs"/>
      <definedName name="s_stm07_is"/>
      <definedName name="s_stmnote_bank"/>
      <definedName name="s_stmnote_bank_1n"/>
      <definedName name="to_tradecode"/>
    </definedNames>
    <sheetDataSet>
      <sheetData sheetId="0"/>
      <sheetData sheetId="1"/>
      <sheetData sheetId="2"/>
    </sheetDataSet>
  </externalBook>
</externalLink>
</file>

<file path=xl/tables/table1.xml><?xml version="1.0" encoding="utf-8"?>
<table xmlns="http://schemas.openxmlformats.org/spreadsheetml/2006/main" id="2" name="表2" displayName="表2" ref="A3:B7" totalsRowShown="0" headerRowDxfId="10" dataDxfId="9">
  <autoFilter ref="A3:B7">
    <filterColumn colId="0" hiddenButton="1"/>
    <filterColumn colId="1" hiddenButton="1"/>
  </autoFilter>
  <tableColumns count="2">
    <tableColumn id="1" name="假设：类信贷占调整后的非标比重" dataDxfId="8"/>
    <tableColumn id="2" name=" " dataDxfId="7"/>
  </tableColumns>
  <tableStyleInfo name="TableStyleLight9" showFirstColumn="0" showLastColumn="0" showRowStripes="1" showColumnStripes="0"/>
</table>
</file>

<file path=xl/tables/table2.xml><?xml version="1.0" encoding="utf-8"?>
<table xmlns="http://schemas.openxmlformats.org/spreadsheetml/2006/main" id="3" name="表3" displayName="表3" ref="F3:G8" totalsRowShown="0" headerRowDxfId="6" dataDxfId="5">
  <autoFilter ref="F3:G8">
    <filterColumn colId="0" hiddenButton="1"/>
    <filterColumn colId="1" hiddenButton="1"/>
  </autoFilter>
  <tableColumns count="2">
    <tableColumn id="1" name="分类" dataDxfId="4"/>
    <tableColumn id="2" name="不良贷款拨备计提指导标准" dataDxfId="3"/>
  </tableColumns>
  <tableStyleInfo name="TableStyleLight9" showFirstColumn="0" showLastColumn="0" showRowStripes="1" showColumnStripes="0"/>
</table>
</file>

<file path=xl/tables/table3.xml><?xml version="1.0" encoding="utf-8"?>
<table xmlns="http://schemas.openxmlformats.org/spreadsheetml/2006/main" id="4" name="表4" displayName="表4" ref="D3:D6" totalsRowShown="0" headerRowDxfId="2" dataDxfId="1" dataCellStyle="百分比">
  <autoFilter ref="D3:D6">
    <filterColumn colId="0" hiddenButton="1"/>
  </autoFilter>
  <tableColumns count="1">
    <tableColumn id="1" name="假设：应收款项类其他项计提比例" dataDxfId="0" dataCellStyle="百分比"/>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workbookViewId="0">
      <selection activeCell="L28" sqref="L28"/>
    </sheetView>
  </sheetViews>
  <sheetFormatPr defaultRowHeight="13.9" x14ac:dyDescent="0.4"/>
  <cols>
    <col min="1" max="1" width="9.86328125" bestFit="1" customWidth="1"/>
    <col min="4" max="4" width="16.3984375" customWidth="1"/>
    <col min="5" max="5" width="16.3984375" bestFit="1" customWidth="1"/>
    <col min="6" max="6" width="11.06640625" bestFit="1" customWidth="1"/>
    <col min="7" max="7" width="12.3984375" bestFit="1" customWidth="1"/>
    <col min="8" max="8" width="12.6640625" customWidth="1"/>
    <col min="10" max="10" width="10.46484375" customWidth="1"/>
    <col min="11" max="11" width="10.73046875" customWidth="1"/>
    <col min="12" max="12" width="11.3984375" bestFit="1" customWidth="1"/>
    <col min="13" max="13" width="10.46484375" bestFit="1" customWidth="1"/>
    <col min="16" max="16" width="13.3984375" bestFit="1" customWidth="1"/>
    <col min="18" max="18" width="9.3984375" bestFit="1" customWidth="1"/>
    <col min="20" max="20" width="15.265625" customWidth="1"/>
    <col min="21" max="21" width="10" bestFit="1" customWidth="1"/>
    <col min="22" max="22" width="18.33203125" bestFit="1" customWidth="1"/>
  </cols>
  <sheetData>
    <row r="1" spans="1:14" x14ac:dyDescent="0.4">
      <c r="A1" s="98">
        <f>[1]!s_stm07_bs(A3,"155",$A$11,1,100000000)</f>
        <v>3438.22</v>
      </c>
      <c r="D1" s="98">
        <f>[1]!s_stm07_bs(D3,"155",$A$11,1,100000000)</f>
        <v>4739.99</v>
      </c>
      <c r="G1" s="98">
        <f>[1]!s_stm07_bs(G3,"155",$A$11,1,100000000)</f>
        <v>6729.91</v>
      </c>
      <c r="J1" s="98">
        <f>[1]!s_stm07_bs(J3,"155",$A$11,1,100000000)</f>
        <v>4159.6899999999996</v>
      </c>
      <c r="M1" s="98">
        <f>[1]!s_stm07_bs(M3,"155",$A$11,1,100000000)</f>
        <v>4104.29</v>
      </c>
    </row>
    <row r="2" spans="1:14" x14ac:dyDescent="0.4">
      <c r="A2" s="1" t="s">
        <v>0</v>
      </c>
      <c r="B2">
        <f>B8</f>
        <v>1645.73</v>
      </c>
      <c r="D2" s="3" t="s">
        <v>7</v>
      </c>
      <c r="E2" s="16">
        <f>E9</f>
        <v>556.53</v>
      </c>
      <c r="G2" s="3" t="s">
        <v>14</v>
      </c>
      <c r="H2" s="16">
        <f>H13-SUM(H5:H7,H9:H11)</f>
        <v>550.41999999999916</v>
      </c>
      <c r="J2" s="7" t="s">
        <v>28</v>
      </c>
      <c r="K2">
        <f>K10+K12</f>
        <v>1699.77</v>
      </c>
      <c r="M2" s="7" t="s">
        <v>119</v>
      </c>
      <c r="N2" s="16">
        <f>N9</f>
        <v>2787.16</v>
      </c>
    </row>
    <row r="3" spans="1:14" x14ac:dyDescent="0.4">
      <c r="A3" t="str">
        <f>[1]!to_tradecode(A2)</f>
        <v>601398</v>
      </c>
      <c r="D3" t="str">
        <f>[1]!to_tradecode(D2)</f>
        <v>601939</v>
      </c>
      <c r="G3" t="str">
        <f>[1]!to_tradecode(G2)</f>
        <v>601288</v>
      </c>
      <c r="J3" t="str">
        <f>[1]!to_tradecode(J2)</f>
        <v>601988</v>
      </c>
      <c r="M3" t="str">
        <f>[1]!to_tradecode(M2)</f>
        <v>601328</v>
      </c>
    </row>
    <row r="4" spans="1:14" x14ac:dyDescent="0.4">
      <c r="A4" s="2" t="s">
        <v>1</v>
      </c>
      <c r="B4" s="2"/>
      <c r="D4" s="2" t="s">
        <v>8</v>
      </c>
      <c r="E4" s="2"/>
      <c r="G4" s="2"/>
      <c r="H4" s="2" t="s">
        <v>2</v>
      </c>
      <c r="J4" s="2"/>
      <c r="K4" s="2" t="s">
        <v>2</v>
      </c>
      <c r="M4" s="2" t="s">
        <v>120</v>
      </c>
      <c r="N4" s="2"/>
    </row>
    <row r="5" spans="1:14" x14ac:dyDescent="0.4">
      <c r="A5" s="2"/>
      <c r="B5" s="2" t="s">
        <v>191</v>
      </c>
      <c r="D5" s="2"/>
      <c r="E5" s="2" t="s">
        <v>2</v>
      </c>
      <c r="G5" s="84" t="s">
        <v>15</v>
      </c>
      <c r="H5" s="85">
        <v>2720.23</v>
      </c>
      <c r="J5" s="17" t="s">
        <v>9</v>
      </c>
      <c r="K5" s="17">
        <f>1921.91+6.77</f>
        <v>1928.68</v>
      </c>
      <c r="M5" s="2"/>
      <c r="N5" s="2" t="s">
        <v>2</v>
      </c>
    </row>
    <row r="6" spans="1:14" x14ac:dyDescent="0.4">
      <c r="A6" s="17" t="s">
        <v>3</v>
      </c>
      <c r="B6" s="17">
        <v>942.49</v>
      </c>
      <c r="D6" s="17" t="s">
        <v>9</v>
      </c>
      <c r="E6" s="18">
        <v>3362.88</v>
      </c>
      <c r="G6" s="17" t="s">
        <v>16</v>
      </c>
      <c r="H6" s="19">
        <v>933</v>
      </c>
      <c r="J6" s="17" t="s">
        <v>22</v>
      </c>
      <c r="K6" s="17">
        <f>100.24</f>
        <v>100.24</v>
      </c>
      <c r="M6" s="17" t="s">
        <v>17</v>
      </c>
      <c r="N6" s="103">
        <v>985.19</v>
      </c>
    </row>
    <row r="7" spans="1:14" x14ac:dyDescent="0.4">
      <c r="A7" s="17" t="s">
        <v>4</v>
      </c>
      <c r="B7" s="17">
        <v>850</v>
      </c>
      <c r="D7" s="17" t="s">
        <v>10</v>
      </c>
      <c r="E7" s="18">
        <v>491.78</v>
      </c>
      <c r="G7" s="17" t="s">
        <v>17</v>
      </c>
      <c r="H7" s="19">
        <v>1557.88</v>
      </c>
      <c r="J7" s="17" t="s">
        <v>23</v>
      </c>
      <c r="K7" s="17">
        <v>15</v>
      </c>
      <c r="M7" s="17" t="s">
        <v>51</v>
      </c>
      <c r="N7" s="103">
        <v>150.49</v>
      </c>
    </row>
    <row r="8" spans="1:14" x14ac:dyDescent="0.4">
      <c r="A8" s="2" t="s">
        <v>5</v>
      </c>
      <c r="B8" s="2">
        <v>1645.73</v>
      </c>
      <c r="D8" s="17" t="s">
        <v>11</v>
      </c>
      <c r="E8" s="18">
        <v>345.86</v>
      </c>
      <c r="G8" s="2" t="s">
        <v>18</v>
      </c>
      <c r="H8" s="6">
        <v>299.98</v>
      </c>
      <c r="J8" s="17" t="s">
        <v>10</v>
      </c>
      <c r="K8" s="17">
        <f>360.38+1.32</f>
        <v>361.7</v>
      </c>
      <c r="M8" s="17" t="s">
        <v>121</v>
      </c>
      <c r="N8" s="103">
        <v>208</v>
      </c>
    </row>
    <row r="9" spans="1:14" x14ac:dyDescent="0.4">
      <c r="A9" s="2" t="s">
        <v>6</v>
      </c>
      <c r="B9" s="2">
        <f>SUM(B6:B8)</f>
        <v>3438.2200000000003</v>
      </c>
      <c r="D9" s="2" t="s">
        <v>5</v>
      </c>
      <c r="E9" s="4">
        <v>556.53</v>
      </c>
      <c r="G9" s="17" t="s">
        <v>10</v>
      </c>
      <c r="H9" s="19">
        <v>788.33</v>
      </c>
      <c r="J9" s="17" t="s">
        <v>24</v>
      </c>
      <c r="K9" s="17">
        <f>65.28+13.61</f>
        <v>78.89</v>
      </c>
      <c r="M9" s="2" t="s">
        <v>122</v>
      </c>
      <c r="N9" s="12">
        <v>2787.16</v>
      </c>
    </row>
    <row r="10" spans="1:14" x14ac:dyDescent="0.4">
      <c r="D10" s="2" t="s">
        <v>12</v>
      </c>
      <c r="E10" s="86">
        <f>SUM(E6:E9)</f>
        <v>4757.0499999999993</v>
      </c>
      <c r="G10" s="17" t="s">
        <v>19</v>
      </c>
      <c r="H10" s="19">
        <v>196.33</v>
      </c>
      <c r="J10" s="2" t="s">
        <v>25</v>
      </c>
      <c r="K10" s="2">
        <v>1600</v>
      </c>
      <c r="M10" s="2" t="s">
        <v>123</v>
      </c>
      <c r="N10" s="86">
        <f>SUM(N6:N9)</f>
        <v>4130.84</v>
      </c>
    </row>
    <row r="11" spans="1:14" x14ac:dyDescent="0.4">
      <c r="A11" s="99">
        <v>42916</v>
      </c>
      <c r="D11" s="2" t="s">
        <v>13</v>
      </c>
      <c r="E11" s="5">
        <v>17.059999999999999</v>
      </c>
      <c r="G11" s="17" t="s">
        <v>20</v>
      </c>
      <c r="H11" s="19">
        <v>32.619999999999997</v>
      </c>
      <c r="J11" s="2" t="s">
        <v>12</v>
      </c>
      <c r="K11" s="2">
        <f>SUM(K5:K10)</f>
        <v>4084.5099999999998</v>
      </c>
      <c r="M11" s="2" t="s">
        <v>124</v>
      </c>
      <c r="N11" s="2">
        <v>26.55</v>
      </c>
    </row>
    <row r="12" spans="1:14" x14ac:dyDescent="0.4">
      <c r="E12" s="16">
        <f>E10-E11</f>
        <v>4739.9899999999989</v>
      </c>
      <c r="G12" s="2" t="s">
        <v>5</v>
      </c>
      <c r="H12" s="6">
        <v>250.44</v>
      </c>
      <c r="J12" s="2" t="s">
        <v>26</v>
      </c>
      <c r="K12" s="2">
        <v>99.77</v>
      </c>
      <c r="N12" s="16">
        <f>N10-N11</f>
        <v>4104.29</v>
      </c>
    </row>
    <row r="13" spans="1:14" x14ac:dyDescent="0.4">
      <c r="G13" s="2" t="s">
        <v>12</v>
      </c>
      <c r="H13" s="86">
        <f>SUM(H5:H12)</f>
        <v>6778.8099999999995</v>
      </c>
      <c r="J13" s="2" t="s">
        <v>27</v>
      </c>
      <c r="K13" s="2">
        <v>24.59</v>
      </c>
    </row>
    <row r="14" spans="1:14" x14ac:dyDescent="0.4">
      <c r="G14" s="2" t="s">
        <v>21</v>
      </c>
      <c r="H14" s="5">
        <v>48.9</v>
      </c>
      <c r="K14">
        <f>K11+K12-K13</f>
        <v>4159.6899999999996</v>
      </c>
    </row>
    <row r="15" spans="1:14" x14ac:dyDescent="0.4">
      <c r="H15" s="16">
        <f>H13-H14</f>
        <v>6729.91</v>
      </c>
    </row>
    <row r="18" spans="1:23" x14ac:dyDescent="0.4">
      <c r="A18" s="98">
        <f>[1]!s_stm07_bs(A20,"155",$A$11,1,100000000)</f>
        <v>5823.7</v>
      </c>
      <c r="B18">
        <f>SUM(B23:B26)+B28</f>
        <v>429.91999999999996</v>
      </c>
      <c r="D18" s="98">
        <f>[1]!s_stm07_bs(D20,"155",$A$11,1,100000000)</f>
        <v>8413.59</v>
      </c>
      <c r="G18" s="98">
        <f>[1]!s_stm07_bs(G20,"155",$A$11,1,100000000)</f>
        <v>7827.04</v>
      </c>
      <c r="J18" s="98">
        <f>[1]!s_stm07_bs(J20,"155",$A$11,1,100000000)</f>
        <v>10194.040000000001</v>
      </c>
      <c r="M18" s="98">
        <f>[1]!s_stm07_bs(M20,"155",$A$11,1,100000000)</f>
        <v>5145.0200000000004</v>
      </c>
      <c r="P18" s="98">
        <f>[1]!s_stm07_bs(P20,"155",$A$11,1,100000000)</f>
        <v>2045.37</v>
      </c>
      <c r="S18" s="98">
        <f>[1]!s_stm07_bs(S20,"155",$A$11,1,100000000)</f>
        <v>20063.86</v>
      </c>
      <c r="T18">
        <v>9212.0499999999993</v>
      </c>
      <c r="V18" s="98">
        <f>[1]!s_stm07_bs(V20,"155",$A$11,1,100000000)</f>
        <v>4644.5200000000004</v>
      </c>
    </row>
    <row r="19" spans="1:23" x14ac:dyDescent="0.4">
      <c r="A19" s="7" t="s">
        <v>29</v>
      </c>
      <c r="B19">
        <f>B32-B18</f>
        <v>5436.8399999999992</v>
      </c>
      <c r="D19" s="8" t="s">
        <v>40</v>
      </c>
      <c r="E19" s="34">
        <f>E27-E24</f>
        <v>4611.4500000000007</v>
      </c>
      <c r="G19" s="9" t="s">
        <v>45</v>
      </c>
      <c r="H19" s="16">
        <f>H30-SUM(H23:H25)-H28</f>
        <v>6658.77</v>
      </c>
      <c r="J19" s="7" t="s">
        <v>48</v>
      </c>
      <c r="K19">
        <f>K29-K23-K25-K26-K24</f>
        <v>9134.35</v>
      </c>
      <c r="M19" s="7" t="s">
        <v>52</v>
      </c>
      <c r="N19">
        <f>N26-N23</f>
        <v>4923.58</v>
      </c>
      <c r="P19" s="7" t="s">
        <v>53</v>
      </c>
      <c r="Q19" s="32">
        <f>Q28-Q23-Q24-Q25</f>
        <v>1741.3199999999997</v>
      </c>
      <c r="S19" s="3" t="s">
        <v>57</v>
      </c>
      <c r="T19" s="16">
        <f>T28-SUM(T23:T26)</f>
        <v>14011.17</v>
      </c>
      <c r="V19" s="7" t="s">
        <v>62</v>
      </c>
      <c r="W19">
        <f>W29-W26-W28-W23</f>
        <v>3685.3699999999994</v>
      </c>
    </row>
    <row r="20" spans="1:23" x14ac:dyDescent="0.4">
      <c r="A20" t="str">
        <f>[1]!to_tradecode(A19)</f>
        <v>600036</v>
      </c>
      <c r="D20" t="str">
        <f>[1]!to_tradecode(D19)</f>
        <v>601998</v>
      </c>
      <c r="G20" t="str">
        <f>[1]!to_tradecode(G19)</f>
        <v>600000</v>
      </c>
      <c r="J20" t="str">
        <f>[1]!to_tradecode(J19)</f>
        <v>600016</v>
      </c>
      <c r="M20" t="str">
        <f>[1]!to_tradecode(M19)</f>
        <v>601818</v>
      </c>
      <c r="P20" t="str">
        <f>[1]!to_tradecode(P19)</f>
        <v>600015</v>
      </c>
      <c r="S20" t="str">
        <f>[1]!to_tradecode(S19)</f>
        <v>601166</v>
      </c>
      <c r="T20">
        <f>T18/T19</f>
        <v>0.65747899711444502</v>
      </c>
      <c r="V20" t="str">
        <f>[1]!to_tradecode(V19)</f>
        <v>000001</v>
      </c>
    </row>
    <row r="21" spans="1:23" x14ac:dyDescent="0.4">
      <c r="A21" s="2" t="s">
        <v>8</v>
      </c>
      <c r="B21" s="2"/>
      <c r="D21" s="2" t="s">
        <v>8</v>
      </c>
      <c r="E21" s="2" t="s">
        <v>2</v>
      </c>
      <c r="G21" s="2" t="s">
        <v>8</v>
      </c>
      <c r="H21" s="2"/>
      <c r="J21" s="2" t="s">
        <v>8</v>
      </c>
      <c r="K21" s="2"/>
      <c r="M21" s="2" t="s">
        <v>8</v>
      </c>
      <c r="N21" s="2"/>
      <c r="P21" s="2" t="s">
        <v>8</v>
      </c>
      <c r="Q21" s="2"/>
      <c r="S21" s="2" t="s">
        <v>8</v>
      </c>
      <c r="T21" s="2"/>
      <c r="V21" s="2" t="s">
        <v>63</v>
      </c>
      <c r="W21" s="2"/>
    </row>
    <row r="22" spans="1:23" x14ac:dyDescent="0.4">
      <c r="A22" s="2"/>
      <c r="B22" s="2" t="s">
        <v>2</v>
      </c>
      <c r="D22" s="2"/>
      <c r="G22" s="2"/>
      <c r="H22" s="2" t="s">
        <v>2</v>
      </c>
      <c r="J22" s="2"/>
      <c r="K22" s="2" t="s">
        <v>2</v>
      </c>
      <c r="M22" s="2"/>
      <c r="N22" s="2" t="s">
        <v>192</v>
      </c>
      <c r="P22" s="2"/>
      <c r="Q22" s="2" t="s">
        <v>2</v>
      </c>
      <c r="S22" s="2"/>
      <c r="T22" s="2" t="s">
        <v>2</v>
      </c>
      <c r="V22" s="2"/>
      <c r="W22" s="2" t="s">
        <v>2</v>
      </c>
    </row>
    <row r="23" spans="1:23" x14ac:dyDescent="0.4">
      <c r="A23" s="17" t="s">
        <v>9</v>
      </c>
      <c r="B23" s="17">
        <v>7.96</v>
      </c>
      <c r="D23" s="2" t="s">
        <v>41</v>
      </c>
      <c r="E23" s="5">
        <v>3412.7</v>
      </c>
      <c r="G23" s="17" t="s">
        <v>9</v>
      </c>
      <c r="H23" s="6">
        <v>779.58</v>
      </c>
      <c r="J23" s="17" t="s">
        <v>49</v>
      </c>
      <c r="K23" s="2">
        <v>573.97</v>
      </c>
      <c r="M23" s="17" t="s">
        <v>33</v>
      </c>
      <c r="N23" s="2">
        <v>242.36</v>
      </c>
      <c r="P23" s="17" t="s">
        <v>54</v>
      </c>
      <c r="Q23" s="10">
        <v>1.78</v>
      </c>
      <c r="S23" s="17" t="s">
        <v>58</v>
      </c>
      <c r="T23" s="4">
        <v>3771.1</v>
      </c>
      <c r="V23" s="17" t="s">
        <v>64</v>
      </c>
      <c r="W23" s="2">
        <v>444.6</v>
      </c>
    </row>
    <row r="24" spans="1:23" x14ac:dyDescent="0.4">
      <c r="A24" s="17" t="s">
        <v>10</v>
      </c>
      <c r="B24" s="17">
        <v>43.65</v>
      </c>
      <c r="D24" s="17" t="s">
        <v>33</v>
      </c>
      <c r="E24" s="5">
        <v>3827.5</v>
      </c>
      <c r="G24" s="17" t="s">
        <v>10</v>
      </c>
      <c r="H24" s="6">
        <v>102.36</v>
      </c>
      <c r="J24" s="17" t="s">
        <v>50</v>
      </c>
      <c r="K24" s="2">
        <v>5</v>
      </c>
      <c r="M24" s="2" t="s">
        <v>42</v>
      </c>
      <c r="N24" s="2">
        <v>4900.32</v>
      </c>
      <c r="P24" s="17" t="s">
        <v>10</v>
      </c>
      <c r="Q24" s="10">
        <v>10</v>
      </c>
      <c r="S24" s="17" t="s">
        <v>59</v>
      </c>
      <c r="T24" s="4">
        <v>156.83000000000001</v>
      </c>
      <c r="V24" s="2" t="s">
        <v>65</v>
      </c>
      <c r="W24" s="2">
        <v>3331.29</v>
      </c>
    </row>
    <row r="25" spans="1:23" x14ac:dyDescent="0.4">
      <c r="A25" s="17" t="s">
        <v>30</v>
      </c>
      <c r="B25" s="17">
        <v>133.15</v>
      </c>
      <c r="D25" s="2" t="s">
        <v>42</v>
      </c>
      <c r="E25" s="5">
        <v>1198.75</v>
      </c>
      <c r="G25" s="17" t="s">
        <v>11</v>
      </c>
      <c r="H25" s="6">
        <v>214.13</v>
      </c>
      <c r="J25" s="17" t="s">
        <v>51</v>
      </c>
      <c r="K25" s="2">
        <f>3.43+127.49+37.68</f>
        <v>168.6</v>
      </c>
      <c r="M25" s="2" t="s">
        <v>38</v>
      </c>
      <c r="N25" s="2">
        <v>23.26</v>
      </c>
      <c r="P25" s="17" t="s">
        <v>55</v>
      </c>
      <c r="Q25" s="10">
        <v>307</v>
      </c>
      <c r="S25" s="17" t="s">
        <v>24</v>
      </c>
      <c r="T25" s="4">
        <v>381.57</v>
      </c>
      <c r="V25" s="2" t="s">
        <v>66</v>
      </c>
      <c r="W25" s="2">
        <v>328.59</v>
      </c>
    </row>
    <row r="26" spans="1:23" x14ac:dyDescent="0.4">
      <c r="A26" s="17" t="s">
        <v>31</v>
      </c>
      <c r="B26" s="17">
        <v>35</v>
      </c>
      <c r="D26" s="2" t="s">
        <v>44</v>
      </c>
      <c r="E26" s="2" t="s">
        <v>43</v>
      </c>
      <c r="G26" s="2" t="s">
        <v>46</v>
      </c>
      <c r="H26" s="6">
        <v>39.07</v>
      </c>
      <c r="J26" s="17" t="s">
        <v>11</v>
      </c>
      <c r="K26" s="2">
        <f>2.01+75.21+255.22</f>
        <v>332.44</v>
      </c>
      <c r="M26" s="2" t="s">
        <v>12</v>
      </c>
      <c r="N26" s="2">
        <f>SUM(N23:N25)</f>
        <v>5165.9399999999996</v>
      </c>
      <c r="P26" s="2" t="s">
        <v>56</v>
      </c>
      <c r="Q26" s="10">
        <v>392.82</v>
      </c>
      <c r="S26" s="17" t="s">
        <v>33</v>
      </c>
      <c r="T26" s="4">
        <v>1902.65</v>
      </c>
      <c r="V26" s="17" t="s">
        <v>58</v>
      </c>
      <c r="W26" s="17">
        <v>537.85</v>
      </c>
    </row>
    <row r="27" spans="1:23" x14ac:dyDescent="0.4">
      <c r="A27" s="2" t="s">
        <v>32</v>
      </c>
      <c r="B27" s="2">
        <v>2585.4299999999998</v>
      </c>
      <c r="D27" s="2" t="s">
        <v>12</v>
      </c>
      <c r="E27" s="96">
        <f>SUM(E23:E26)</f>
        <v>8438.9500000000007</v>
      </c>
      <c r="G27" s="2" t="s">
        <v>47</v>
      </c>
      <c r="H27" s="6">
        <v>6438.09</v>
      </c>
      <c r="J27" s="2" t="s">
        <v>41</v>
      </c>
      <c r="K27" s="2">
        <v>8988.49</v>
      </c>
      <c r="M27" s="2" t="s">
        <v>13</v>
      </c>
      <c r="N27" s="2">
        <v>20.92</v>
      </c>
      <c r="P27" s="2" t="s">
        <v>41</v>
      </c>
      <c r="Q27" s="10">
        <v>1348.5</v>
      </c>
      <c r="S27" s="2" t="s">
        <v>60</v>
      </c>
      <c r="T27" s="11">
        <v>14011.17</v>
      </c>
      <c r="V27" s="2" t="s">
        <v>67</v>
      </c>
      <c r="W27" s="2">
        <v>25.49</v>
      </c>
    </row>
    <row r="28" spans="1:23" x14ac:dyDescent="0.4">
      <c r="A28" s="17" t="s">
        <v>33</v>
      </c>
      <c r="B28" s="17">
        <v>210.16</v>
      </c>
      <c r="D28" s="2" t="s">
        <v>13</v>
      </c>
      <c r="E28" s="96">
        <v>25.36</v>
      </c>
      <c r="G28" s="17" t="s">
        <v>33</v>
      </c>
      <c r="H28" s="19">
        <v>137.4</v>
      </c>
      <c r="J28" s="2" t="s">
        <v>193</v>
      </c>
      <c r="K28" s="2">
        <v>145.86000000000001</v>
      </c>
      <c r="N28">
        <f>N26-N27</f>
        <v>5145.0199999999995</v>
      </c>
      <c r="P28" s="2" t="s">
        <v>12</v>
      </c>
      <c r="Q28" s="10">
        <f>SUM(Q23:Q27)</f>
        <v>2060.1</v>
      </c>
      <c r="S28" s="2" t="s">
        <v>61</v>
      </c>
      <c r="T28" s="2">
        <f>SUM(T23:T27)</f>
        <v>20223.32</v>
      </c>
      <c r="V28" s="17" t="s">
        <v>68</v>
      </c>
      <c r="W28" s="17">
        <v>0.25</v>
      </c>
    </row>
    <row r="29" spans="1:23" x14ac:dyDescent="0.4">
      <c r="A29" s="2" t="s">
        <v>34</v>
      </c>
      <c r="B29" s="2">
        <v>2838.41</v>
      </c>
      <c r="E29" s="37">
        <f>E27-E28</f>
        <v>8413.59</v>
      </c>
      <c r="G29" s="2" t="s">
        <v>5</v>
      </c>
      <c r="H29" s="6">
        <v>181.61</v>
      </c>
      <c r="J29" s="2" t="s">
        <v>12</v>
      </c>
      <c r="K29" s="2">
        <f>SUM(K23:K28)</f>
        <v>10214.36</v>
      </c>
      <c r="P29" s="2" t="s">
        <v>13</v>
      </c>
      <c r="Q29" s="10">
        <v>14.73</v>
      </c>
      <c r="S29" s="2" t="s">
        <v>39</v>
      </c>
      <c r="T29" s="2">
        <v>159.46</v>
      </c>
      <c r="V29" s="2" t="s">
        <v>69</v>
      </c>
      <c r="W29" s="2">
        <f>SUM(W23:W28)</f>
        <v>4668.07</v>
      </c>
    </row>
    <row r="30" spans="1:23" x14ac:dyDescent="0.4">
      <c r="A30" s="2" t="s">
        <v>35</v>
      </c>
      <c r="B30" s="2">
        <v>13</v>
      </c>
      <c r="G30" s="2" t="s">
        <v>12</v>
      </c>
      <c r="H30" s="86">
        <f>SUM(H23:H29)</f>
        <v>7892.24</v>
      </c>
      <c r="J30" s="2" t="s">
        <v>13</v>
      </c>
      <c r="K30" s="2">
        <v>20.32</v>
      </c>
      <c r="Q30" s="97">
        <f>Q28-Q29</f>
        <v>2045.37</v>
      </c>
      <c r="V30" s="2" t="s">
        <v>13</v>
      </c>
      <c r="W30" s="2">
        <v>23.55</v>
      </c>
    </row>
    <row r="31" spans="1:23" x14ac:dyDescent="0.4">
      <c r="A31" s="2" t="s">
        <v>36</v>
      </c>
      <c r="B31" s="2"/>
      <c r="G31" s="2" t="s">
        <v>13</v>
      </c>
      <c r="H31" s="5">
        <v>65.2</v>
      </c>
      <c r="K31">
        <f>K29-K30</f>
        <v>10194.040000000001</v>
      </c>
      <c r="W31">
        <f>W29-W30</f>
        <v>4644.5199999999995</v>
      </c>
    </row>
    <row r="32" spans="1:23" x14ac:dyDescent="0.4">
      <c r="A32" s="2" t="s">
        <v>12</v>
      </c>
      <c r="B32" s="2">
        <f>SUM(B23:B31)</f>
        <v>5866.7599999999993</v>
      </c>
      <c r="H32" s="16">
        <f>H30-H31</f>
        <v>7827.04</v>
      </c>
    </row>
    <row r="33" spans="1:21" x14ac:dyDescent="0.4">
      <c r="A33" s="2" t="s">
        <v>37</v>
      </c>
      <c r="B33" s="2">
        <v>43.06</v>
      </c>
    </row>
    <row r="34" spans="1:21" x14ac:dyDescent="0.4">
      <c r="B34">
        <f>B32-B33</f>
        <v>5823.6999999999989</v>
      </c>
    </row>
    <row r="36" spans="1:21" x14ac:dyDescent="0.4">
      <c r="A36" s="98">
        <f>[1]!s_stm07_bs(A38,"155",$A$11,1,100000000)</f>
        <v>3812.34</v>
      </c>
      <c r="E36" s="98">
        <f>[1]!s_stm07_bs(E38,"155",$A$11,1,100000000)</f>
        <v>2411.51865</v>
      </c>
      <c r="H36" s="98">
        <f>[1]!s_stm07_bs(H38,"155",$A$11,1,100000000)</f>
        <v>1023.29221</v>
      </c>
      <c r="K36" s="98">
        <f>[1]!s_stm07_bs(K38,"155",$A$11,1,100000000)</f>
        <v>2768.6626900000001</v>
      </c>
      <c r="N36" s="98">
        <f>[1]!s_stm07_bs(N38,"155",$A$11,1,100000000)</f>
        <v>749.08506999999997</v>
      </c>
      <c r="Q36" s="98">
        <f>[1]!s_stm07_bs(Q38,"155",$A$11,1,100000000)</f>
        <v>710.78346999999997</v>
      </c>
      <c r="T36" s="98">
        <f>[1]!s_stm07_bs(T38,"155",$A$11,1,100000000)</f>
        <v>1465.8905099999999</v>
      </c>
    </row>
    <row r="37" spans="1:21" x14ac:dyDescent="0.4">
      <c r="A37" s="7" t="s">
        <v>70</v>
      </c>
      <c r="B37">
        <f>B48-SUM(B43:B46)</f>
        <v>3701.5499999999997</v>
      </c>
      <c r="E37" s="7" t="s">
        <v>72</v>
      </c>
      <c r="F37" s="33">
        <f>F44-F42</f>
        <v>2379.6147000000001</v>
      </c>
      <c r="H37" s="7" t="s">
        <v>76</v>
      </c>
      <c r="I37" s="34">
        <f>I45</f>
        <v>1024.1644699999999</v>
      </c>
      <c r="K37" s="7" t="s">
        <v>80</v>
      </c>
      <c r="L37">
        <f>0</f>
        <v>0</v>
      </c>
      <c r="N37" s="7" t="s">
        <v>86</v>
      </c>
      <c r="O37">
        <f>SUM(O42:O43)</f>
        <v>763.49552000000006</v>
      </c>
      <c r="Q37" s="20" t="s">
        <v>87</v>
      </c>
      <c r="R37" s="34">
        <f>R43</f>
        <v>711.88409999999999</v>
      </c>
      <c r="T37" s="20" t="s">
        <v>94</v>
      </c>
      <c r="U37" s="33">
        <f>U47-U43</f>
        <v>1449.6943999999999</v>
      </c>
    </row>
    <row r="38" spans="1:21" x14ac:dyDescent="0.4">
      <c r="A38" t="str">
        <f>[1]!to_tradecode(A37)</f>
        <v>601169</v>
      </c>
      <c r="E38" t="str">
        <f>[1]!to_tradecode(E37)</f>
        <v>601009</v>
      </c>
      <c r="H38" t="str">
        <f>[1]!to_tradecode(H37)</f>
        <v>002142</v>
      </c>
      <c r="K38" t="str">
        <f>[1]!to_tradecode(K37)</f>
        <v>600919</v>
      </c>
      <c r="N38" t="str">
        <f>[1]!to_tradecode(N37)</f>
        <v>601997</v>
      </c>
      <c r="Q38" t="str">
        <f>[1]!to_tradecode(Q37)</f>
        <v>600926</v>
      </c>
      <c r="T38" t="str">
        <f>[1]!to_tradecode(T37)</f>
        <v>601229</v>
      </c>
    </row>
    <row r="40" spans="1:21" x14ac:dyDescent="0.4">
      <c r="A40" s="2" t="s">
        <v>8</v>
      </c>
      <c r="B40" s="2"/>
      <c r="E40" s="2" t="s">
        <v>8</v>
      </c>
      <c r="F40" s="2"/>
      <c r="H40" s="2" t="s">
        <v>8</v>
      </c>
      <c r="I40" s="2"/>
      <c r="K40" s="2" t="s">
        <v>81</v>
      </c>
      <c r="L40" s="2"/>
      <c r="N40" s="2" t="s">
        <v>8</v>
      </c>
      <c r="O40" s="2"/>
      <c r="Q40" s="21" t="s">
        <v>88</v>
      </c>
      <c r="R40" s="21"/>
      <c r="T40" s="21" t="s">
        <v>88</v>
      </c>
      <c r="U40" s="21"/>
    </row>
    <row r="41" spans="1:21" x14ac:dyDescent="0.4">
      <c r="A41" s="2"/>
      <c r="B41" s="2" t="s">
        <v>2</v>
      </c>
      <c r="E41" s="2"/>
      <c r="F41" s="2" t="s">
        <v>73</v>
      </c>
      <c r="H41" s="2"/>
      <c r="I41" s="2"/>
      <c r="K41" s="2"/>
      <c r="L41" s="2">
        <v>2017</v>
      </c>
      <c r="N41" s="2"/>
      <c r="O41" s="2">
        <v>2017</v>
      </c>
      <c r="Q41" s="21"/>
      <c r="R41" s="21" t="s">
        <v>192</v>
      </c>
      <c r="T41" s="21"/>
      <c r="U41" s="21" t="s">
        <v>192</v>
      </c>
    </row>
    <row r="42" spans="1:21" x14ac:dyDescent="0.4">
      <c r="A42" s="2" t="s">
        <v>42</v>
      </c>
      <c r="B42" s="2">
        <v>3138.33</v>
      </c>
      <c r="E42" s="17" t="s">
        <v>9</v>
      </c>
      <c r="F42" s="12">
        <v>56.03586</v>
      </c>
      <c r="H42" s="17" t="s">
        <v>9</v>
      </c>
      <c r="I42" s="2">
        <v>0.32773999999999998</v>
      </c>
      <c r="K42" s="17" t="s">
        <v>54</v>
      </c>
      <c r="L42" s="2">
        <v>92.672190000000001</v>
      </c>
      <c r="N42" s="2" t="s">
        <v>5</v>
      </c>
      <c r="O42" s="2">
        <v>4</v>
      </c>
      <c r="Q42" s="30" t="s">
        <v>89</v>
      </c>
      <c r="R42" s="5">
        <v>1.2493700000000001</v>
      </c>
      <c r="T42" s="21" t="s">
        <v>95</v>
      </c>
      <c r="U42" s="22"/>
    </row>
    <row r="43" spans="1:21" x14ac:dyDescent="0.4">
      <c r="A43" s="17" t="s">
        <v>54</v>
      </c>
      <c r="B43" s="2">
        <v>3.16</v>
      </c>
      <c r="E43" s="2" t="s">
        <v>74</v>
      </c>
      <c r="F43" s="12">
        <v>2379.6147000000001</v>
      </c>
      <c r="H43" s="17" t="s">
        <v>10</v>
      </c>
      <c r="I43" s="2" t="s">
        <v>78</v>
      </c>
      <c r="K43" s="17" t="s">
        <v>59</v>
      </c>
      <c r="L43" s="2">
        <v>2694.3687100000002</v>
      </c>
      <c r="N43" s="2" t="s">
        <v>85</v>
      </c>
      <c r="O43" s="2">
        <v>759.49552000000006</v>
      </c>
      <c r="Q43" s="21" t="s">
        <v>90</v>
      </c>
      <c r="R43" s="5">
        <v>711.88409999999999</v>
      </c>
      <c r="T43" s="21" t="s">
        <v>96</v>
      </c>
      <c r="U43" s="22">
        <v>83.904269999999997</v>
      </c>
    </row>
    <row r="44" spans="1:21" x14ac:dyDescent="0.4">
      <c r="A44" s="17" t="s">
        <v>71</v>
      </c>
      <c r="B44" s="2">
        <v>6.5</v>
      </c>
      <c r="E44" s="2" t="s">
        <v>12</v>
      </c>
      <c r="F44" s="13">
        <f>SUM(F42:F43)</f>
        <v>2435.65056</v>
      </c>
      <c r="H44" s="17" t="s">
        <v>77</v>
      </c>
      <c r="I44" s="2">
        <v>1.2</v>
      </c>
      <c r="K44" s="17" t="s">
        <v>82</v>
      </c>
      <c r="L44" s="2">
        <v>6</v>
      </c>
      <c r="N44" s="2"/>
      <c r="O44" s="2"/>
      <c r="Q44" s="21" t="s">
        <v>91</v>
      </c>
      <c r="R44" s="21">
        <f>SUM(R42:R43)</f>
        <v>713.13346999999999</v>
      </c>
      <c r="T44" s="21" t="s">
        <v>97</v>
      </c>
      <c r="U44" s="22">
        <v>9.1248500000000003</v>
      </c>
    </row>
    <row r="45" spans="1:21" x14ac:dyDescent="0.4">
      <c r="A45" s="17" t="s">
        <v>10</v>
      </c>
      <c r="B45" s="2">
        <v>145.97</v>
      </c>
      <c r="E45" s="2" t="s">
        <v>75</v>
      </c>
      <c r="F45" s="14">
        <v>24.131910000000001</v>
      </c>
      <c r="H45" s="2" t="s">
        <v>79</v>
      </c>
      <c r="I45" s="15">
        <v>1024.1644699999999</v>
      </c>
      <c r="K45" s="2" t="s">
        <v>83</v>
      </c>
      <c r="L45" s="13">
        <f>SUM(L42:L44)</f>
        <v>2793.0409</v>
      </c>
      <c r="N45" s="2" t="s">
        <v>12</v>
      </c>
      <c r="O45" s="2">
        <f>SUM(O42:O44)</f>
        <v>763.49552000000006</v>
      </c>
      <c r="Q45" s="21" t="s">
        <v>92</v>
      </c>
      <c r="R45" s="5">
        <v>2.35</v>
      </c>
      <c r="T45" s="21" t="s">
        <v>98</v>
      </c>
      <c r="U45" s="22">
        <v>1439.5695499999999</v>
      </c>
    </row>
    <row r="46" spans="1:21" x14ac:dyDescent="0.4">
      <c r="A46" s="17" t="s">
        <v>11</v>
      </c>
      <c r="B46" s="2">
        <v>52.52</v>
      </c>
      <c r="F46" s="100">
        <f>F44-F45</f>
        <v>2411.51865</v>
      </c>
      <c r="H46" s="2" t="s">
        <v>12</v>
      </c>
      <c r="I46" s="2">
        <f>SUM(I42:I45)</f>
        <v>1025.6922099999999</v>
      </c>
      <c r="K46" s="2" t="s">
        <v>84</v>
      </c>
      <c r="L46" s="2">
        <v>-24.378209999999999</v>
      </c>
      <c r="N46" s="2" t="s">
        <v>13</v>
      </c>
      <c r="O46" s="2">
        <v>-14.410450000000001</v>
      </c>
      <c r="Q46" s="21" t="s">
        <v>93</v>
      </c>
      <c r="R46" s="22">
        <f>R44-R45</f>
        <v>710.78346999999997</v>
      </c>
      <c r="T46" s="21" t="s">
        <v>99</v>
      </c>
      <c r="U46" s="22">
        <v>1</v>
      </c>
    </row>
    <row r="47" spans="1:21" x14ac:dyDescent="0.4">
      <c r="A47" s="2" t="s">
        <v>5</v>
      </c>
      <c r="B47" s="2">
        <f>182.19+196.85+184.18</f>
        <v>563.22</v>
      </c>
      <c r="H47" s="2" t="s">
        <v>13</v>
      </c>
      <c r="I47">
        <v>2.4</v>
      </c>
      <c r="K47" s="2"/>
      <c r="L47" s="101">
        <f>L45+L46</f>
        <v>2768.6626900000001</v>
      </c>
      <c r="O47">
        <f>O45+O46</f>
        <v>749.08507000000009</v>
      </c>
      <c r="T47" s="21" t="s">
        <v>91</v>
      </c>
      <c r="U47" s="22">
        <f>SUM(U43:U46)</f>
        <v>1533.5986699999999</v>
      </c>
    </row>
    <row r="48" spans="1:21" x14ac:dyDescent="0.4">
      <c r="A48" s="2" t="s">
        <v>12</v>
      </c>
      <c r="B48" s="2">
        <f>SUM(B42:B47)</f>
        <v>3909.7</v>
      </c>
      <c r="I48">
        <f>I46-I47</f>
        <v>1023.29221</v>
      </c>
      <c r="K48" s="2"/>
      <c r="L48" s="2"/>
      <c r="T48" s="21" t="s">
        <v>92</v>
      </c>
      <c r="U48" s="22">
        <v>67.708160000000007</v>
      </c>
    </row>
    <row r="49" spans="1:21" x14ac:dyDescent="0.4">
      <c r="A49" s="2" t="s">
        <v>13</v>
      </c>
      <c r="B49" s="2">
        <f>-45.76-51.6</f>
        <v>-97.36</v>
      </c>
      <c r="T49" s="21" t="s">
        <v>93</v>
      </c>
      <c r="U49" s="22">
        <f>U47-U48</f>
        <v>1465.8905099999999</v>
      </c>
    </row>
    <row r="50" spans="1:21" x14ac:dyDescent="0.4">
      <c r="B50">
        <f>B48+B49</f>
        <v>3812.3399999999997</v>
      </c>
      <c r="T50" s="21" t="s">
        <v>118</v>
      </c>
    </row>
    <row r="55" spans="1:21" x14ac:dyDescent="0.4">
      <c r="A55" s="98">
        <f>[1]!s_stm07_bs(A57,"155",$A$11,1,100000000)</f>
        <v>0</v>
      </c>
      <c r="E55" s="98">
        <f>[1]!s_stm07_bs(E57,"155",$A$11,1,100000000)</f>
        <v>77.778710000000004</v>
      </c>
      <c r="H55" s="98">
        <f>[1]!s_stm07_bs(H57,"155",$A$11,1,100000000)</f>
        <v>146.99495999999999</v>
      </c>
      <c r="L55" s="98">
        <f>[1]!s_stm07_bs(L57,"155",$A$11,1,100000000)</f>
        <v>0</v>
      </c>
      <c r="O55" s="98">
        <f>[1]!s_stm07_bs(O57,"155",$A$11,1,100000000)</f>
        <v>62.469861708700002</v>
      </c>
    </row>
    <row r="56" spans="1:21" x14ac:dyDescent="0.4">
      <c r="A56" s="23" t="s">
        <v>100</v>
      </c>
      <c r="E56" s="25" t="s">
        <v>104</v>
      </c>
      <c r="F56" s="35">
        <f>F60</f>
        <v>78.983999999999995</v>
      </c>
      <c r="H56" s="25" t="s">
        <v>108</v>
      </c>
      <c r="I56" s="36">
        <f>I62</f>
        <v>142.75730999999999</v>
      </c>
      <c r="L56" s="25" t="s">
        <v>113</v>
      </c>
      <c r="O56" s="25" t="s">
        <v>114</v>
      </c>
      <c r="P56" s="37">
        <f>SUM(P62:P63)</f>
        <v>14.268611708700002</v>
      </c>
    </row>
    <row r="57" spans="1:21" x14ac:dyDescent="0.4">
      <c r="A57" t="str">
        <f>[1]!to_tradecode(A56)</f>
        <v>002807</v>
      </c>
      <c r="E57" t="str">
        <f>[1]!to_tradecode(E56)</f>
        <v>600908</v>
      </c>
      <c r="H57" t="str">
        <f>[1]!to_tradecode(H56)</f>
        <v>601128</v>
      </c>
      <c r="L57" t="str">
        <f>[1]!to_tradecode(L56)</f>
        <v>603323</v>
      </c>
      <c r="O57" t="str">
        <f>[1]!to_tradecode(O56)</f>
        <v>002839</v>
      </c>
    </row>
    <row r="58" spans="1:21" x14ac:dyDescent="0.4">
      <c r="A58" s="24" t="s">
        <v>101</v>
      </c>
      <c r="B58" s="24"/>
      <c r="E58" s="24" t="s">
        <v>88</v>
      </c>
      <c r="F58" s="24"/>
      <c r="H58" s="24" t="s">
        <v>109</v>
      </c>
      <c r="I58" s="24"/>
      <c r="O58" s="24" t="s">
        <v>101</v>
      </c>
      <c r="P58" s="24"/>
    </row>
    <row r="59" spans="1:21" x14ac:dyDescent="0.4">
      <c r="A59" s="24"/>
      <c r="B59" s="24" t="s">
        <v>192</v>
      </c>
      <c r="E59" s="24"/>
      <c r="F59" s="24" t="s">
        <v>192</v>
      </c>
      <c r="H59" s="24"/>
      <c r="I59" s="24" t="s">
        <v>192</v>
      </c>
      <c r="O59" s="24"/>
      <c r="P59" s="24" t="s">
        <v>192</v>
      </c>
    </row>
    <row r="60" spans="1:21" x14ac:dyDescent="0.4">
      <c r="A60" s="24" t="s">
        <v>102</v>
      </c>
      <c r="B60" s="24">
        <v>0</v>
      </c>
      <c r="E60" s="24" t="s">
        <v>105</v>
      </c>
      <c r="F60" s="26">
        <v>78.983999999999995</v>
      </c>
      <c r="H60" s="31" t="s">
        <v>89</v>
      </c>
      <c r="I60" s="26" t="s">
        <v>110</v>
      </c>
      <c r="O60" s="31" t="s">
        <v>89</v>
      </c>
      <c r="P60" s="29" t="s">
        <v>110</v>
      </c>
    </row>
    <row r="61" spans="1:21" x14ac:dyDescent="0.4">
      <c r="A61" s="24" t="s">
        <v>103</v>
      </c>
      <c r="B61" s="24">
        <f>B60</f>
        <v>0</v>
      </c>
      <c r="E61" s="95" t="s">
        <v>106</v>
      </c>
      <c r="F61" s="26"/>
      <c r="H61" s="31" t="s">
        <v>111</v>
      </c>
      <c r="I61" s="26">
        <v>6.7</v>
      </c>
      <c r="O61" s="31" t="s">
        <v>115</v>
      </c>
      <c r="P61" s="14">
        <v>49.15</v>
      </c>
    </row>
    <row r="62" spans="1:21" x14ac:dyDescent="0.4">
      <c r="E62" s="27" t="s">
        <v>107</v>
      </c>
      <c r="F62" s="26">
        <v>78.983999999999995</v>
      </c>
      <c r="H62" s="24" t="s">
        <v>112</v>
      </c>
      <c r="I62" s="28">
        <v>142.75730999999999</v>
      </c>
      <c r="O62" s="24" t="s">
        <v>112</v>
      </c>
      <c r="P62" s="14">
        <v>14.102498947400001</v>
      </c>
    </row>
    <row r="63" spans="1:21" x14ac:dyDescent="0.4">
      <c r="E63" s="27" t="s">
        <v>92</v>
      </c>
      <c r="F63" s="26">
        <v>1.20529</v>
      </c>
      <c r="H63" s="24" t="s">
        <v>103</v>
      </c>
      <c r="I63" s="26">
        <f>SUM(I61:I62)</f>
        <v>149.45730999999998</v>
      </c>
      <c r="O63" s="24" t="s">
        <v>116</v>
      </c>
      <c r="P63" s="14">
        <v>0.16611276129999999</v>
      </c>
    </row>
    <row r="64" spans="1:21" x14ac:dyDescent="0.4">
      <c r="E64" s="27" t="s">
        <v>93</v>
      </c>
      <c r="F64" s="26">
        <v>77.778710000000004</v>
      </c>
      <c r="H64" s="24" t="s">
        <v>92</v>
      </c>
      <c r="I64" s="5">
        <v>2.4623499999999998</v>
      </c>
      <c r="O64" s="24" t="s">
        <v>103</v>
      </c>
      <c r="P64" s="29">
        <f>SUM(P61:P63)</f>
        <v>63.418611708699999</v>
      </c>
    </row>
    <row r="65" spans="8:16" x14ac:dyDescent="0.4">
      <c r="H65" s="24" t="s">
        <v>93</v>
      </c>
      <c r="I65" s="26">
        <f>I63-I64</f>
        <v>146.99495999999999</v>
      </c>
      <c r="O65" s="24" t="s">
        <v>117</v>
      </c>
      <c r="P65" s="14">
        <v>0.94874999999999998</v>
      </c>
    </row>
    <row r="66" spans="8:16" x14ac:dyDescent="0.4">
      <c r="O66" s="24" t="s">
        <v>93</v>
      </c>
      <c r="P66" s="29">
        <f>P64-P65</f>
        <v>62.469861708700002</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tabSelected="1" topLeftCell="A10" zoomScale="55" zoomScaleNormal="55" workbookViewId="0">
      <selection activeCell="S51" sqref="S51"/>
    </sheetView>
  </sheetViews>
  <sheetFormatPr defaultColWidth="9.1328125" defaultRowHeight="13.9" x14ac:dyDescent="0.4"/>
  <cols>
    <col min="1" max="1" width="31.3984375" style="38" customWidth="1"/>
    <col min="2" max="2" width="10.265625" style="38" bestFit="1" customWidth="1"/>
    <col min="3" max="3" width="17.59765625" style="38" bestFit="1" customWidth="1"/>
    <col min="4" max="4" width="20.73046875" style="38" customWidth="1"/>
    <col min="5" max="5" width="10" style="38" bestFit="1" customWidth="1"/>
    <col min="6" max="6" width="10.46484375" style="38" customWidth="1"/>
    <col min="7" max="7" width="10.3984375" style="38" customWidth="1"/>
    <col min="8" max="8" width="12.265625" style="38" bestFit="1" customWidth="1"/>
    <col min="9" max="9" width="8.265625" style="38" customWidth="1"/>
    <col min="10" max="13" width="9.265625" style="38" bestFit="1" customWidth="1"/>
    <col min="14" max="14" width="12.59765625" style="38" bestFit="1" customWidth="1"/>
    <col min="15" max="15" width="21.86328125" style="38" bestFit="1" customWidth="1"/>
    <col min="16" max="16" width="26.265625" style="38" bestFit="1" customWidth="1"/>
    <col min="17" max="17" width="17.59765625" style="38" bestFit="1" customWidth="1"/>
    <col min="18" max="18" width="27.3984375" style="38" bestFit="1" customWidth="1"/>
    <col min="19" max="19" width="26.1328125" style="38" bestFit="1" customWidth="1"/>
    <col min="20" max="20" width="15.3984375" style="38" bestFit="1" customWidth="1"/>
    <col min="21" max="21" width="11.59765625" style="38" bestFit="1" customWidth="1"/>
    <col min="22" max="22" width="9.59765625" style="38" bestFit="1" customWidth="1"/>
    <col min="23" max="16384" width="9.1328125" style="38"/>
  </cols>
  <sheetData>
    <row r="1" spans="1:20" x14ac:dyDescent="0.4">
      <c r="A1" s="92" t="s">
        <v>166</v>
      </c>
      <c r="B1" s="92"/>
    </row>
    <row r="2" spans="1:20" x14ac:dyDescent="0.4">
      <c r="A2" s="92"/>
      <c r="B2" s="92"/>
    </row>
    <row r="3" spans="1:20" ht="41.25" x14ac:dyDescent="0.4">
      <c r="A3" s="38" t="s">
        <v>167</v>
      </c>
      <c r="B3" s="38" t="s">
        <v>165</v>
      </c>
      <c r="D3" s="74" t="s">
        <v>168</v>
      </c>
      <c r="F3" s="38" t="s">
        <v>125</v>
      </c>
      <c r="G3" s="74" t="s">
        <v>126</v>
      </c>
    </row>
    <row r="4" spans="1:20" ht="14.25" x14ac:dyDescent="0.4">
      <c r="A4" s="38" t="s">
        <v>127</v>
      </c>
      <c r="B4" s="75">
        <v>0.1</v>
      </c>
      <c r="D4" s="81">
        <v>0.01</v>
      </c>
      <c r="F4" s="38" t="s">
        <v>128</v>
      </c>
      <c r="G4" s="76">
        <v>1.4999999999999999E-2</v>
      </c>
    </row>
    <row r="5" spans="1:20" ht="14.25" x14ac:dyDescent="0.4">
      <c r="A5" s="38" t="s">
        <v>169</v>
      </c>
      <c r="B5" s="75">
        <v>0.33</v>
      </c>
      <c r="D5" s="49" t="s">
        <v>170</v>
      </c>
      <c r="F5" s="38" t="s">
        <v>129</v>
      </c>
      <c r="G5" s="75">
        <v>0.03</v>
      </c>
    </row>
    <row r="6" spans="1:20" ht="14.25" x14ac:dyDescent="0.4">
      <c r="A6" s="38" t="s">
        <v>130</v>
      </c>
      <c r="B6" s="75">
        <v>0.2</v>
      </c>
      <c r="D6" s="49">
        <f>(P25-O25)/(非标类信贷!C25-非标类信贷!D25)</f>
        <v>5.1046729419607318E-3</v>
      </c>
      <c r="F6" s="38" t="s">
        <v>131</v>
      </c>
      <c r="G6" s="75">
        <v>0.3</v>
      </c>
    </row>
    <row r="7" spans="1:20" ht="14.25" x14ac:dyDescent="0.4">
      <c r="A7" s="38" t="s">
        <v>132</v>
      </c>
      <c r="B7" s="75">
        <v>0.2</v>
      </c>
      <c r="F7" s="38" t="s">
        <v>133</v>
      </c>
      <c r="G7" s="75">
        <v>0.6</v>
      </c>
    </row>
    <row r="8" spans="1:20" ht="14.25" x14ac:dyDescent="0.4">
      <c r="B8" s="39"/>
      <c r="F8" s="38" t="s">
        <v>134</v>
      </c>
      <c r="G8" s="75">
        <v>1</v>
      </c>
    </row>
    <row r="9" spans="1:20" ht="14.25" x14ac:dyDescent="0.4">
      <c r="A9" s="38" t="s">
        <v>171</v>
      </c>
      <c r="B9" s="39"/>
    </row>
    <row r="10" spans="1:20" x14ac:dyDescent="0.4">
      <c r="A10" s="91" t="s">
        <v>190</v>
      </c>
      <c r="B10" s="91"/>
      <c r="C10" s="91"/>
      <c r="D10" s="91"/>
      <c r="E10" s="91"/>
      <c r="F10" s="91"/>
      <c r="G10" s="91"/>
      <c r="H10" s="91"/>
      <c r="I10" s="91"/>
      <c r="J10" s="91"/>
      <c r="K10" s="91"/>
      <c r="L10" s="91"/>
    </row>
    <row r="11" spans="1:20" x14ac:dyDescent="0.4">
      <c r="A11" s="91"/>
      <c r="B11" s="91"/>
      <c r="C11" s="91"/>
      <c r="D11" s="91"/>
      <c r="E11" s="91"/>
      <c r="F11" s="91"/>
      <c r="G11" s="91"/>
      <c r="H11" s="91"/>
      <c r="I11" s="91"/>
      <c r="J11" s="91"/>
      <c r="K11" s="91"/>
      <c r="L11" s="91"/>
    </row>
    <row r="12" spans="1:20" x14ac:dyDescent="0.4">
      <c r="A12" s="91"/>
      <c r="B12" s="91"/>
      <c r="C12" s="91"/>
      <c r="D12" s="91"/>
      <c r="E12" s="91"/>
      <c r="F12" s="91"/>
      <c r="G12" s="91"/>
      <c r="H12" s="91"/>
      <c r="I12" s="91"/>
      <c r="J12" s="91"/>
      <c r="K12" s="91"/>
      <c r="L12" s="91"/>
    </row>
    <row r="13" spans="1:20" x14ac:dyDescent="0.4">
      <c r="A13" s="91"/>
      <c r="B13" s="91"/>
      <c r="C13" s="91"/>
      <c r="D13" s="91"/>
      <c r="E13" s="91"/>
      <c r="F13" s="91"/>
      <c r="G13" s="91"/>
      <c r="H13" s="91"/>
      <c r="I13" s="91"/>
      <c r="J13" s="91"/>
      <c r="K13" s="91"/>
      <c r="L13" s="91"/>
    </row>
    <row r="14" spans="1:20" ht="14.25" x14ac:dyDescent="0.4">
      <c r="E14" s="88" t="s">
        <v>135</v>
      </c>
      <c r="F14" s="89"/>
      <c r="G14" s="89"/>
      <c r="H14" s="89"/>
      <c r="I14" s="90"/>
      <c r="J14" s="88" t="s">
        <v>136</v>
      </c>
      <c r="K14" s="89"/>
      <c r="L14" s="89"/>
      <c r="M14" s="89"/>
      <c r="N14" s="90"/>
    </row>
    <row r="15" spans="1:20" s="80" customFormat="1" ht="14.25" x14ac:dyDescent="0.4">
      <c r="A15" s="77"/>
      <c r="B15" s="78" t="s">
        <v>172</v>
      </c>
      <c r="C15" s="78" t="s">
        <v>173</v>
      </c>
      <c r="D15" s="78" t="s">
        <v>174</v>
      </c>
      <c r="E15" s="79" t="s">
        <v>137</v>
      </c>
      <c r="F15" s="78" t="s">
        <v>129</v>
      </c>
      <c r="G15" s="78" t="s">
        <v>131</v>
      </c>
      <c r="H15" s="78" t="s">
        <v>133</v>
      </c>
      <c r="I15" s="77" t="s">
        <v>134</v>
      </c>
      <c r="J15" s="79" t="s">
        <v>137</v>
      </c>
      <c r="K15" s="78" t="s">
        <v>129</v>
      </c>
      <c r="L15" s="78" t="s">
        <v>131</v>
      </c>
      <c r="M15" s="78" t="s">
        <v>133</v>
      </c>
      <c r="N15" s="77" t="s">
        <v>134</v>
      </c>
      <c r="O15" s="82" t="s">
        <v>175</v>
      </c>
      <c r="P15" s="78" t="s">
        <v>139</v>
      </c>
      <c r="Q15" s="78" t="s">
        <v>140</v>
      </c>
      <c r="R15" s="78" t="s">
        <v>176</v>
      </c>
      <c r="S15" s="78" t="s">
        <v>177</v>
      </c>
      <c r="T15" s="78" t="s">
        <v>178</v>
      </c>
    </row>
    <row r="16" spans="1:20" ht="14.25" x14ac:dyDescent="0.4">
      <c r="A16" s="93" t="s">
        <v>127</v>
      </c>
      <c r="B16" s="52" t="s">
        <v>179</v>
      </c>
      <c r="C16" s="53">
        <f>数据底稿!B2</f>
        <v>1645.73</v>
      </c>
      <c r="D16" s="53">
        <f>C16*$B$4</f>
        <v>164.57300000000001</v>
      </c>
      <c r="E16" s="61">
        <f>$D16*I48</f>
        <v>155.57376741741206</v>
      </c>
      <c r="F16" s="54">
        <f t="shared" ref="F16:I16" si="0">$D16*J48</f>
        <v>6.4228280889482257</v>
      </c>
      <c r="G16" s="54">
        <f t="shared" si="0"/>
        <v>1.2444535046350009</v>
      </c>
      <c r="H16" s="54">
        <f t="shared" si="0"/>
        <v>1.1023116336620991</v>
      </c>
      <c r="I16" s="64">
        <f t="shared" si="0"/>
        <v>0.22963935534266089</v>
      </c>
      <c r="J16" s="61">
        <f>E16*$G$4</f>
        <v>2.3336065112611806</v>
      </c>
      <c r="K16" s="54">
        <f>F16*$G$5</f>
        <v>0.19268484266844677</v>
      </c>
      <c r="L16" s="54">
        <f>G16*$G$6</f>
        <v>0.37333605139050025</v>
      </c>
      <c r="M16" s="54">
        <f>H16*$G$7</f>
        <v>0.66138698019725939</v>
      </c>
      <c r="N16" s="64">
        <f>I16*$G$8</f>
        <v>0.22963935534266089</v>
      </c>
      <c r="O16" s="67">
        <f>SUM(J16:N16)</f>
        <v>3.7906537408600478</v>
      </c>
      <c r="P16" s="71">
        <f>P48</f>
        <v>0</v>
      </c>
      <c r="Q16" s="53">
        <f>D16*$G$4</f>
        <v>2.4685950000000001</v>
      </c>
      <c r="R16" s="54">
        <f>O16-Q16</f>
        <v>1.3220587408600477</v>
      </c>
      <c r="S16" s="42">
        <f>Q48</f>
        <v>1536.87</v>
      </c>
      <c r="T16" s="44">
        <f>-R16/S16</f>
        <v>-8.6022808751556597E-4</v>
      </c>
    </row>
    <row r="17" spans="1:20" ht="14.25" x14ac:dyDescent="0.4">
      <c r="A17" s="87"/>
      <c r="B17" s="55" t="s">
        <v>141</v>
      </c>
      <c r="C17" s="56">
        <f>数据底稿!E2</f>
        <v>556.53</v>
      </c>
      <c r="D17" s="56">
        <f>C17*$B$4</f>
        <v>55.652999999999999</v>
      </c>
      <c r="E17" s="62">
        <f t="shared" ref="E17:I17" si="1">$D17*I49</f>
        <v>53.231860503712269</v>
      </c>
      <c r="F17" s="57">
        <f t="shared" si="1"/>
        <v>1.581242045407935</v>
      </c>
      <c r="G17" s="57">
        <f t="shared" si="1"/>
        <v>0.3471109204182195</v>
      </c>
      <c r="H17" s="57">
        <f t="shared" si="1"/>
        <v>0.40067244885892489</v>
      </c>
      <c r="I17" s="65">
        <f t="shared" si="1"/>
        <v>9.211408160264542E-2</v>
      </c>
      <c r="J17" s="62">
        <f t="shared" ref="J17:J40" si="2">E17*$G$4</f>
        <v>0.79847790755568404</v>
      </c>
      <c r="K17" s="57">
        <f t="shared" ref="K17:K40" si="3">F17*$G$5</f>
        <v>4.7437261362238047E-2</v>
      </c>
      <c r="L17" s="57">
        <f t="shared" ref="L17:L40" si="4">G17*$G$6</f>
        <v>0.10413327612546584</v>
      </c>
      <c r="M17" s="57">
        <f t="shared" ref="M17:M40" si="5">H17*$G$7</f>
        <v>0.24040346931535492</v>
      </c>
      <c r="N17" s="65">
        <f t="shared" ref="N17:N40" si="6">I17*$G$8</f>
        <v>9.211408160264542E-2</v>
      </c>
      <c r="O17" s="68">
        <f t="shared" ref="O17:O40" si="7">SUM(J17:N17)</f>
        <v>1.2825659959613882</v>
      </c>
      <c r="P17" s="72">
        <f t="shared" ref="P17:P40" si="8">P49</f>
        <v>17.059999999999999</v>
      </c>
      <c r="Q17" s="56">
        <f>D17*$G$4</f>
        <v>0.83479499999999995</v>
      </c>
      <c r="R17" s="57">
        <f>O17-Q17</f>
        <v>0.44777099596138825</v>
      </c>
      <c r="S17" s="42">
        <f t="shared" ref="S17:S40" si="9">Q49</f>
        <v>1390.09</v>
      </c>
      <c r="T17" s="44">
        <f t="shared" ref="T17:T40" si="10">-R17/S17</f>
        <v>-3.2211655069915496E-4</v>
      </c>
    </row>
    <row r="18" spans="1:20" ht="12.75" customHeight="1" x14ac:dyDescent="0.4">
      <c r="A18" s="87"/>
      <c r="B18" s="55" t="s">
        <v>142</v>
      </c>
      <c r="C18" s="56">
        <f>数据底稿!H2</f>
        <v>550.41999999999916</v>
      </c>
      <c r="D18" s="56">
        <f>C18*$B$4</f>
        <v>55.041999999999916</v>
      </c>
      <c r="E18" s="62">
        <f t="shared" ref="E18:I18" si="11">$D18*I50</f>
        <v>51.842195989826202</v>
      </c>
      <c r="F18" s="57">
        <f t="shared" si="11"/>
        <v>1.9922167911810265</v>
      </c>
      <c r="G18" s="57">
        <f t="shared" si="11"/>
        <v>0.21080215883375153</v>
      </c>
      <c r="H18" s="57">
        <f t="shared" si="11"/>
        <v>0.87191930151581931</v>
      </c>
      <c r="I18" s="65">
        <f t="shared" si="11"/>
        <v>0.12486575864312398</v>
      </c>
      <c r="J18" s="62">
        <f t="shared" si="2"/>
        <v>0.77763293984739301</v>
      </c>
      <c r="K18" s="57">
        <f t="shared" si="3"/>
        <v>5.9766503735430791E-2</v>
      </c>
      <c r="L18" s="57">
        <f t="shared" si="4"/>
        <v>6.3240647650125451E-2</v>
      </c>
      <c r="M18" s="57">
        <f t="shared" si="5"/>
        <v>0.52315158090949154</v>
      </c>
      <c r="N18" s="65">
        <f t="shared" si="6"/>
        <v>0.12486575864312398</v>
      </c>
      <c r="O18" s="68">
        <f t="shared" si="7"/>
        <v>1.5486574307855647</v>
      </c>
      <c r="P18" s="72">
        <f t="shared" si="8"/>
        <v>48.9</v>
      </c>
      <c r="Q18" s="56">
        <f>D18*$G$4</f>
        <v>0.82562999999999875</v>
      </c>
      <c r="R18" s="57">
        <f>O18-Q18</f>
        <v>0.72302743078556597</v>
      </c>
      <c r="S18" s="42">
        <f t="shared" si="9"/>
        <v>1086.7</v>
      </c>
      <c r="T18" s="44">
        <f t="shared" si="10"/>
        <v>-6.6534225709539519E-4</v>
      </c>
    </row>
    <row r="19" spans="1:20" ht="14.25" x14ac:dyDescent="0.4">
      <c r="A19" s="87"/>
      <c r="B19" s="55" t="s">
        <v>143</v>
      </c>
      <c r="C19" s="56">
        <f>数据底稿!K2</f>
        <v>1699.77</v>
      </c>
      <c r="D19" s="56">
        <f>C19*$B$4</f>
        <v>169.977</v>
      </c>
      <c r="E19" s="62">
        <f t="shared" ref="E19:I19" si="12">$D19*I51</f>
        <v>162.92230295652786</v>
      </c>
      <c r="F19" s="57">
        <f t="shared" si="12"/>
        <v>4.7082915127761993</v>
      </c>
      <c r="G19" s="57">
        <f t="shared" si="12"/>
        <v>1.0193637848130777</v>
      </c>
      <c r="H19" s="57">
        <f t="shared" si="12"/>
        <v>0.50860464450093101</v>
      </c>
      <c r="I19" s="65">
        <f t="shared" si="12"/>
        <v>0.81843710138194636</v>
      </c>
      <c r="J19" s="62">
        <f t="shared" si="2"/>
        <v>2.4438345443479177</v>
      </c>
      <c r="K19" s="57">
        <f t="shared" si="3"/>
        <v>0.14124874538328597</v>
      </c>
      <c r="L19" s="57">
        <f t="shared" si="4"/>
        <v>0.3058091354439233</v>
      </c>
      <c r="M19" s="57">
        <f t="shared" si="5"/>
        <v>0.30516278670055857</v>
      </c>
      <c r="N19" s="65">
        <f t="shared" si="6"/>
        <v>0.81843710138194636</v>
      </c>
      <c r="O19" s="68">
        <f t="shared" si="7"/>
        <v>4.014492313257632</v>
      </c>
      <c r="P19" s="72">
        <f t="shared" si="8"/>
        <v>24.59</v>
      </c>
      <c r="Q19" s="56">
        <f>D19*$G$4</f>
        <v>2.549655</v>
      </c>
      <c r="R19" s="57">
        <f>O19-Q19</f>
        <v>1.464837313257632</v>
      </c>
      <c r="S19" s="42">
        <f t="shared" si="9"/>
        <v>1105.49</v>
      </c>
      <c r="T19" s="44">
        <f t="shared" si="10"/>
        <v>-1.3250570455251808E-3</v>
      </c>
    </row>
    <row r="20" spans="1:20" ht="14.25" x14ac:dyDescent="0.4">
      <c r="A20" s="94"/>
      <c r="B20" s="51" t="s">
        <v>144</v>
      </c>
      <c r="C20" s="58">
        <f>数据底稿!N2</f>
        <v>2787.16</v>
      </c>
      <c r="D20" s="58">
        <f>C20*$B$4</f>
        <v>278.71600000000001</v>
      </c>
      <c r="E20" s="63">
        <f t="shared" ref="E20:I20" si="13">$D20*I52</f>
        <v>266.44621189905052</v>
      </c>
      <c r="F20" s="59">
        <f t="shared" si="13"/>
        <v>8.0634864941614079</v>
      </c>
      <c r="G20" s="59">
        <f t="shared" si="13"/>
        <v>1.1982471546151652</v>
      </c>
      <c r="H20" s="59">
        <f t="shared" si="13"/>
        <v>1.6153504328344104</v>
      </c>
      <c r="I20" s="66">
        <f t="shared" si="13"/>
        <v>1.3927040193384801</v>
      </c>
      <c r="J20" s="63">
        <f t="shared" si="2"/>
        <v>3.9966931784857578</v>
      </c>
      <c r="K20" s="59">
        <f t="shared" si="3"/>
        <v>0.24190459482484222</v>
      </c>
      <c r="L20" s="59">
        <f t="shared" si="4"/>
        <v>0.35947414638454955</v>
      </c>
      <c r="M20" s="59">
        <f t="shared" si="5"/>
        <v>0.96921025970064623</v>
      </c>
      <c r="N20" s="66">
        <f t="shared" si="6"/>
        <v>1.3927040193384801</v>
      </c>
      <c r="O20" s="69">
        <f t="shared" si="7"/>
        <v>6.9599861987342759</v>
      </c>
      <c r="P20" s="73">
        <f t="shared" si="8"/>
        <v>26.55</v>
      </c>
      <c r="Q20" s="58">
        <f>D20*$G$4</f>
        <v>4.1807400000000001</v>
      </c>
      <c r="R20" s="59">
        <f>O20-Q20</f>
        <v>2.7792461987342758</v>
      </c>
      <c r="S20" s="59">
        <f t="shared" si="9"/>
        <v>392.22</v>
      </c>
      <c r="T20" s="60">
        <f t="shared" si="10"/>
        <v>-7.0859369709200849E-3</v>
      </c>
    </row>
    <row r="21" spans="1:20" ht="14.25" x14ac:dyDescent="0.4">
      <c r="A21" s="93" t="s">
        <v>180</v>
      </c>
      <c r="B21" s="52" t="s">
        <v>145</v>
      </c>
      <c r="C21" s="53">
        <f>数据底稿!B19</f>
        <v>5436.8399999999992</v>
      </c>
      <c r="D21" s="53">
        <f t="shared" ref="D21:D28" si="14">C21*$B$5</f>
        <v>1794.1571999999999</v>
      </c>
      <c r="E21" s="61">
        <f t="shared" ref="E21:I21" si="15">$D21*I53</f>
        <v>1732.7300607886355</v>
      </c>
      <c r="F21" s="54">
        <f t="shared" si="15"/>
        <v>30.78452621791681</v>
      </c>
      <c r="G21" s="54">
        <f t="shared" si="15"/>
        <v>10.919208956993032</v>
      </c>
      <c r="H21" s="54">
        <f t="shared" si="15"/>
        <v>11.926286017777713</v>
      </c>
      <c r="I21" s="64">
        <f t="shared" si="15"/>
        <v>7.797118018677164</v>
      </c>
      <c r="J21" s="61">
        <f t="shared" si="2"/>
        <v>25.990950911829533</v>
      </c>
      <c r="K21" s="54">
        <f t="shared" si="3"/>
        <v>0.92353578653750423</v>
      </c>
      <c r="L21" s="54">
        <f t="shared" si="4"/>
        <v>3.2757626870979095</v>
      </c>
      <c r="M21" s="54">
        <f t="shared" si="5"/>
        <v>7.1557716106666271</v>
      </c>
      <c r="N21" s="64">
        <f t="shared" si="6"/>
        <v>7.797118018677164</v>
      </c>
      <c r="O21" s="67">
        <f t="shared" si="7"/>
        <v>45.143139014808739</v>
      </c>
      <c r="P21" s="71">
        <f t="shared" si="8"/>
        <v>43.06</v>
      </c>
      <c r="Q21" s="56">
        <f>D21*$G$4</f>
        <v>26.912357999999998</v>
      </c>
      <c r="R21" s="57">
        <f>O21-Q21</f>
        <v>18.230781014808741</v>
      </c>
      <c r="S21" s="42">
        <f t="shared" si="9"/>
        <v>394.66</v>
      </c>
      <c r="T21" s="44">
        <f t="shared" si="10"/>
        <v>-4.6193637598968072E-2</v>
      </c>
    </row>
    <row r="22" spans="1:20" ht="14.25" x14ac:dyDescent="0.4">
      <c r="A22" s="87"/>
      <c r="B22" s="55" t="s">
        <v>146</v>
      </c>
      <c r="C22" s="56">
        <f>数据底稿!E19</f>
        <v>4611.4500000000007</v>
      </c>
      <c r="D22" s="56">
        <f t="shared" si="14"/>
        <v>1521.7785000000003</v>
      </c>
      <c r="E22" s="62">
        <f t="shared" ref="E22:I22" si="16">$D22*I54</f>
        <v>1461.6452349652795</v>
      </c>
      <c r="F22" s="57">
        <f t="shared" si="16"/>
        <v>34.966844998616999</v>
      </c>
      <c r="G22" s="57">
        <f t="shared" si="16"/>
        <v>13.956017824751427</v>
      </c>
      <c r="H22" s="57">
        <f t="shared" si="16"/>
        <v>9.0161743488957811</v>
      </c>
      <c r="I22" s="65">
        <f t="shared" si="16"/>
        <v>2.1942278624565086</v>
      </c>
      <c r="J22" s="62">
        <f t="shared" si="2"/>
        <v>21.924678524479191</v>
      </c>
      <c r="K22" s="57">
        <f t="shared" si="3"/>
        <v>1.0490053499585099</v>
      </c>
      <c r="L22" s="57">
        <f t="shared" si="4"/>
        <v>4.1868053474254276</v>
      </c>
      <c r="M22" s="57">
        <f t="shared" si="5"/>
        <v>5.4097046093374681</v>
      </c>
      <c r="N22" s="65">
        <f t="shared" si="6"/>
        <v>2.1942278624565086</v>
      </c>
      <c r="O22" s="68">
        <f t="shared" si="7"/>
        <v>34.764421693657106</v>
      </c>
      <c r="P22" s="72">
        <f t="shared" si="8"/>
        <v>25.36</v>
      </c>
      <c r="Q22" s="56">
        <f>D22*$G$4</f>
        <v>22.826677500000006</v>
      </c>
      <c r="R22" s="57">
        <f>O22-Q22</f>
        <v>11.9377441936571</v>
      </c>
      <c r="S22" s="42">
        <f t="shared" si="9"/>
        <v>241.64</v>
      </c>
      <c r="T22" s="44">
        <f t="shared" si="10"/>
        <v>-4.9403013547662224E-2</v>
      </c>
    </row>
    <row r="23" spans="1:20" ht="14.25" x14ac:dyDescent="0.4">
      <c r="A23" s="87"/>
      <c r="B23" s="55" t="s">
        <v>147</v>
      </c>
      <c r="C23" s="56">
        <f>数据底稿!H19</f>
        <v>6658.77</v>
      </c>
      <c r="D23" s="56">
        <f t="shared" si="14"/>
        <v>2197.3941000000004</v>
      </c>
      <c r="E23" s="62">
        <f t="shared" ref="E23:I23" si="17">$D23*I55</f>
        <v>2067.2816383924487</v>
      </c>
      <c r="F23" s="57">
        <f t="shared" si="17"/>
        <v>84.097981686686595</v>
      </c>
      <c r="G23" s="57">
        <f t="shared" si="17"/>
        <v>19.813291999302397</v>
      </c>
      <c r="H23" s="57">
        <f t="shared" si="17"/>
        <v>16.213250665998128</v>
      </c>
      <c r="I23" s="65">
        <f t="shared" si="17"/>
        <v>9.9879372555645194</v>
      </c>
      <c r="J23" s="62">
        <f t="shared" si="2"/>
        <v>31.00922457588673</v>
      </c>
      <c r="K23" s="57">
        <f t="shared" si="3"/>
        <v>2.5229394506005978</v>
      </c>
      <c r="L23" s="57">
        <f t="shared" si="4"/>
        <v>5.9439875997907192</v>
      </c>
      <c r="M23" s="57">
        <f t="shared" si="5"/>
        <v>9.7279503995988765</v>
      </c>
      <c r="N23" s="65">
        <f t="shared" si="6"/>
        <v>9.9879372555645194</v>
      </c>
      <c r="O23" s="68">
        <f t="shared" si="7"/>
        <v>59.192039281441438</v>
      </c>
      <c r="P23" s="72">
        <f t="shared" si="8"/>
        <v>65.2</v>
      </c>
      <c r="Q23" s="56">
        <f>D23*$G$4</f>
        <v>32.960911500000009</v>
      </c>
      <c r="R23" s="57">
        <f>O23-Q23</f>
        <v>26.23112778144143</v>
      </c>
      <c r="S23" s="42">
        <f t="shared" si="9"/>
        <v>285.22000000000003</v>
      </c>
      <c r="T23" s="44">
        <f t="shared" si="10"/>
        <v>-9.1968051964944356E-2</v>
      </c>
    </row>
    <row r="24" spans="1:20" ht="14.25" x14ac:dyDescent="0.4">
      <c r="A24" s="87"/>
      <c r="B24" s="55" t="s">
        <v>148</v>
      </c>
      <c r="C24" s="56">
        <f>数据底稿!K19</f>
        <v>9134.35</v>
      </c>
      <c r="D24" s="56">
        <f t="shared" si="14"/>
        <v>3014.3355000000001</v>
      </c>
      <c r="E24" s="62">
        <f t="shared" ref="E24:I24" si="18">$D24*I56</f>
        <v>2852.6260607328695</v>
      </c>
      <c r="F24" s="57">
        <f t="shared" si="18"/>
        <v>110.90792171027984</v>
      </c>
      <c r="G24" s="57">
        <f t="shared" si="18"/>
        <v>18.682171760163531</v>
      </c>
      <c r="H24" s="57">
        <f t="shared" si="18"/>
        <v>22.645157935723173</v>
      </c>
      <c r="I24" s="65">
        <f t="shared" si="18"/>
        <v>9.4741878609641095</v>
      </c>
      <c r="J24" s="62">
        <f t="shared" si="2"/>
        <v>42.789390910993042</v>
      </c>
      <c r="K24" s="57">
        <f t="shared" si="3"/>
        <v>3.327237651308395</v>
      </c>
      <c r="L24" s="57">
        <f t="shared" si="4"/>
        <v>5.6046515280490592</v>
      </c>
      <c r="M24" s="57">
        <f t="shared" si="5"/>
        <v>13.587094761433903</v>
      </c>
      <c r="N24" s="65">
        <f t="shared" si="6"/>
        <v>9.4741878609641095</v>
      </c>
      <c r="O24" s="68">
        <f t="shared" si="7"/>
        <v>74.782562712748515</v>
      </c>
      <c r="P24" s="72">
        <f t="shared" si="8"/>
        <v>20.32</v>
      </c>
      <c r="Q24" s="56">
        <f>D24*$G$4</f>
        <v>45.2150325</v>
      </c>
      <c r="R24" s="57">
        <f>O24-Q24</f>
        <v>29.567530212748515</v>
      </c>
      <c r="S24" s="42">
        <f t="shared" si="9"/>
        <v>286.14</v>
      </c>
      <c r="T24" s="44">
        <f t="shared" si="10"/>
        <v>-0.10333239048280043</v>
      </c>
    </row>
    <row r="25" spans="1:20" ht="14.25" x14ac:dyDescent="0.4">
      <c r="A25" s="87"/>
      <c r="B25" s="55" t="s">
        <v>149</v>
      </c>
      <c r="C25" s="56">
        <f>数据底稿!T19</f>
        <v>14011.17</v>
      </c>
      <c r="D25" s="56">
        <f>C25*$B$5</f>
        <v>4623.6860999999999</v>
      </c>
      <c r="E25" s="62">
        <f t="shared" ref="E25:I25" si="19">$D25*I57</f>
        <v>4417.0751799591626</v>
      </c>
      <c r="F25" s="57">
        <f t="shared" si="19"/>
        <v>132.4935960391567</v>
      </c>
      <c r="G25" s="57">
        <f t="shared" si="19"/>
        <v>27.918206717177348</v>
      </c>
      <c r="H25" s="57">
        <f t="shared" si="19"/>
        <v>33.163874844101869</v>
      </c>
      <c r="I25" s="65">
        <f t="shared" si="19"/>
        <v>13.035242440401545</v>
      </c>
      <c r="J25" s="62">
        <f t="shared" si="2"/>
        <v>66.256127699387434</v>
      </c>
      <c r="K25" s="57">
        <f t="shared" si="3"/>
        <v>3.974807881174701</v>
      </c>
      <c r="L25" s="57">
        <f t="shared" si="4"/>
        <v>8.3754620151532038</v>
      </c>
      <c r="M25" s="57">
        <f t="shared" si="5"/>
        <v>19.89832490646112</v>
      </c>
      <c r="N25" s="65">
        <f t="shared" si="6"/>
        <v>13.035242440401545</v>
      </c>
      <c r="O25" s="68">
        <f t="shared" si="7"/>
        <v>111.53996494257801</v>
      </c>
      <c r="P25" s="72">
        <f t="shared" si="8"/>
        <v>159.46</v>
      </c>
      <c r="Q25" s="56">
        <f>D25*$G$4</f>
        <v>69.355291499999993</v>
      </c>
      <c r="R25" s="57">
        <f>O25-Q25</f>
        <v>42.184673442578017</v>
      </c>
      <c r="S25" s="42">
        <f t="shared" si="9"/>
        <v>318.39</v>
      </c>
      <c r="T25" s="44">
        <f t="shared" si="10"/>
        <v>-0.13249371350412392</v>
      </c>
    </row>
    <row r="26" spans="1:20" ht="14.25" x14ac:dyDescent="0.4">
      <c r="A26" s="87"/>
      <c r="B26" s="55" t="s">
        <v>150</v>
      </c>
      <c r="C26" s="56">
        <f>数据底稿!N19</f>
        <v>4923.58</v>
      </c>
      <c r="D26" s="56">
        <f>C26*$B$5</f>
        <v>1624.7814000000001</v>
      </c>
      <c r="E26" s="62">
        <f t="shared" ref="E26:I26" si="20">$D26*I58</f>
        <v>1545.1687258857448</v>
      </c>
      <c r="F26" s="57">
        <f t="shared" si="20"/>
        <v>53.92233511551337</v>
      </c>
      <c r="G26" s="57">
        <f t="shared" si="20"/>
        <v>9.1931398850974944</v>
      </c>
      <c r="H26" s="57">
        <f t="shared" si="20"/>
        <v>12.293911943507794</v>
      </c>
      <c r="I26" s="65">
        <f t="shared" si="20"/>
        <v>4.2032871701363437</v>
      </c>
      <c r="J26" s="62">
        <f t="shared" si="2"/>
        <v>23.177530888286171</v>
      </c>
      <c r="K26" s="57">
        <f t="shared" si="3"/>
        <v>1.6176700534654009</v>
      </c>
      <c r="L26" s="57">
        <f t="shared" si="4"/>
        <v>2.7579419655292483</v>
      </c>
      <c r="M26" s="57">
        <f t="shared" si="5"/>
        <v>7.3763471661046758</v>
      </c>
      <c r="N26" s="65">
        <f t="shared" si="6"/>
        <v>4.2032871701363437</v>
      </c>
      <c r="O26" s="68">
        <f t="shared" si="7"/>
        <v>39.132777243521836</v>
      </c>
      <c r="P26" s="72">
        <f t="shared" si="8"/>
        <v>20.92</v>
      </c>
      <c r="Q26" s="56">
        <f>D26*$G$4</f>
        <v>24.371721000000001</v>
      </c>
      <c r="R26" s="57">
        <f>O26-Q26</f>
        <v>14.761056243521836</v>
      </c>
      <c r="S26" s="42">
        <f t="shared" si="9"/>
        <v>169.72</v>
      </c>
      <c r="T26" s="44">
        <f t="shared" si="10"/>
        <v>-8.6972992243234945E-2</v>
      </c>
    </row>
    <row r="27" spans="1:20" ht="14.25" x14ac:dyDescent="0.4">
      <c r="A27" s="87"/>
      <c r="B27" s="55" t="s">
        <v>151</v>
      </c>
      <c r="C27" s="56">
        <f>数据底稿!Q19</f>
        <v>1741.3199999999997</v>
      </c>
      <c r="D27" s="56">
        <f t="shared" si="14"/>
        <v>574.63559999999995</v>
      </c>
      <c r="E27" s="62">
        <f t="shared" ref="E27:I27" si="21">$D27*I59</f>
        <v>539.45545841061789</v>
      </c>
      <c r="F27" s="57">
        <f t="shared" si="21"/>
        <v>25.504099752510967</v>
      </c>
      <c r="G27" s="57">
        <f t="shared" si="21"/>
        <v>4.0053924940800405</v>
      </c>
      <c r="H27" s="57">
        <f t="shared" si="21"/>
        <v>3.8724352278983738</v>
      </c>
      <c r="I27" s="65">
        <f t="shared" si="21"/>
        <v>1.7982141148926385</v>
      </c>
      <c r="J27" s="62">
        <f t="shared" si="2"/>
        <v>8.0918318761592687</v>
      </c>
      <c r="K27" s="57">
        <f t="shared" si="3"/>
        <v>0.76512299257532901</v>
      </c>
      <c r="L27" s="57">
        <f t="shared" si="4"/>
        <v>1.201617748224012</v>
      </c>
      <c r="M27" s="57">
        <f t="shared" si="5"/>
        <v>2.3234611367390241</v>
      </c>
      <c r="N27" s="65">
        <f t="shared" si="6"/>
        <v>1.7982141148926385</v>
      </c>
      <c r="O27" s="68">
        <f t="shared" si="7"/>
        <v>14.180247868590271</v>
      </c>
      <c r="P27" s="72">
        <f t="shared" si="8"/>
        <v>14.73</v>
      </c>
      <c r="Q27" s="56">
        <f>D27*$G$4</f>
        <v>8.6195339999999998</v>
      </c>
      <c r="R27" s="57">
        <f>O27-Q27</f>
        <v>5.5607138685902715</v>
      </c>
      <c r="S27" s="42">
        <f t="shared" si="9"/>
        <v>99.07</v>
      </c>
      <c r="T27" s="44">
        <f t="shared" si="10"/>
        <v>-5.6129139684972969E-2</v>
      </c>
    </row>
    <row r="28" spans="1:20" ht="14.25" x14ac:dyDescent="0.4">
      <c r="A28" s="94"/>
      <c r="B28" s="51" t="s">
        <v>152</v>
      </c>
      <c r="C28" s="58">
        <f>数据底稿!W19</f>
        <v>3685.3699999999994</v>
      </c>
      <c r="D28" s="58">
        <f t="shared" si="14"/>
        <v>1216.1720999999998</v>
      </c>
      <c r="E28" s="63">
        <f t="shared" ref="E28:I28" si="22">$D28*I60</f>
        <v>1144.4305931285012</v>
      </c>
      <c r="F28" s="59">
        <f t="shared" si="22"/>
        <v>50.353923899801842</v>
      </c>
      <c r="G28" s="59">
        <f t="shared" si="22"/>
        <v>10.49659884048044</v>
      </c>
      <c r="H28" s="59">
        <f t="shared" si="22"/>
        <v>3.7966259032755203</v>
      </c>
      <c r="I28" s="66">
        <f t="shared" si="22"/>
        <v>7.0943582279409956</v>
      </c>
      <c r="J28" s="63">
        <f t="shared" si="2"/>
        <v>17.166458896927516</v>
      </c>
      <c r="K28" s="59">
        <f t="shared" si="3"/>
        <v>1.5106177169940551</v>
      </c>
      <c r="L28" s="59">
        <f t="shared" si="4"/>
        <v>3.1489796521441318</v>
      </c>
      <c r="M28" s="59">
        <f t="shared" si="5"/>
        <v>2.2779755419653123</v>
      </c>
      <c r="N28" s="66">
        <f t="shared" si="6"/>
        <v>7.0943582279409956</v>
      </c>
      <c r="O28" s="69">
        <f t="shared" si="7"/>
        <v>31.198390035972011</v>
      </c>
      <c r="P28" s="73">
        <f t="shared" si="8"/>
        <v>23.55</v>
      </c>
      <c r="Q28" s="58">
        <f>D28*$G$4</f>
        <v>18.242581499999996</v>
      </c>
      <c r="R28" s="59">
        <f>O28-Q28</f>
        <v>12.955808535972015</v>
      </c>
      <c r="S28" s="59">
        <f t="shared" si="9"/>
        <v>125.54</v>
      </c>
      <c r="T28" s="60">
        <f t="shared" si="10"/>
        <v>-0.10320064151642515</v>
      </c>
    </row>
    <row r="29" spans="1:20" ht="14.25" x14ac:dyDescent="0.4">
      <c r="A29" s="102" t="s">
        <v>194</v>
      </c>
      <c r="B29" s="52" t="s">
        <v>153</v>
      </c>
      <c r="C29" s="53">
        <f>数据底稿!B37</f>
        <v>3701.5499999999997</v>
      </c>
      <c r="D29" s="53">
        <f t="shared" ref="D29:D35" si="23">C29*$B$6</f>
        <v>740.31</v>
      </c>
      <c r="E29" s="61">
        <f t="shared" ref="E29:I29" si="24">$D29*I61</f>
        <v>722.87766811063602</v>
      </c>
      <c r="F29" s="54">
        <f t="shared" si="24"/>
        <v>8.682576926351782</v>
      </c>
      <c r="G29" s="54">
        <f t="shared" si="24"/>
        <v>6.8841489295508955</v>
      </c>
      <c r="H29" s="54">
        <f t="shared" si="24"/>
        <v>0.41717914645104487</v>
      </c>
      <c r="I29" s="64">
        <f t="shared" si="24"/>
        <v>1.4484268870101804</v>
      </c>
      <c r="J29" s="61">
        <f t="shared" si="2"/>
        <v>10.843165021659541</v>
      </c>
      <c r="K29" s="54">
        <f t="shared" si="3"/>
        <v>0.26047730779055345</v>
      </c>
      <c r="L29" s="54">
        <f t="shared" si="4"/>
        <v>2.0652446788652687</v>
      </c>
      <c r="M29" s="54">
        <f t="shared" si="5"/>
        <v>0.2503074878706269</v>
      </c>
      <c r="N29" s="64">
        <f t="shared" si="6"/>
        <v>1.4484268870101804</v>
      </c>
      <c r="O29" s="67">
        <f t="shared" si="7"/>
        <v>14.86762138319617</v>
      </c>
      <c r="P29" s="72">
        <f t="shared" si="8"/>
        <v>97.36</v>
      </c>
      <c r="Q29" s="56">
        <f>D29*$G$4</f>
        <v>11.104649999999999</v>
      </c>
      <c r="R29" s="57">
        <f>O29-Q29</f>
        <v>3.7629713831961702</v>
      </c>
      <c r="S29" s="42">
        <f t="shared" si="9"/>
        <v>111.55</v>
      </c>
      <c r="T29" s="44">
        <f t="shared" si="10"/>
        <v>-3.3733495142950876E-2</v>
      </c>
    </row>
    <row r="30" spans="1:20" ht="14.25" x14ac:dyDescent="0.4">
      <c r="A30" s="87"/>
      <c r="B30" s="55" t="s">
        <v>154</v>
      </c>
      <c r="C30" s="56">
        <f>数据底稿!F37</f>
        <v>2379.6147000000001</v>
      </c>
      <c r="D30" s="56">
        <f t="shared" si="23"/>
        <v>475.92294000000004</v>
      </c>
      <c r="E30" s="62">
        <f t="shared" ref="E30:I30" si="25">$D30*I62</f>
        <v>463.12626619659568</v>
      </c>
      <c r="F30" s="57">
        <f t="shared" si="25"/>
        <v>8.6814125546311018</v>
      </c>
      <c r="G30" s="57">
        <f t="shared" si="25"/>
        <v>2.8041611731478664</v>
      </c>
      <c r="H30" s="57">
        <f t="shared" si="25"/>
        <v>0.97473215157171911</v>
      </c>
      <c r="I30" s="65">
        <f t="shared" si="25"/>
        <v>0.33636792405367227</v>
      </c>
      <c r="J30" s="62">
        <f t="shared" si="2"/>
        <v>6.9468939929489348</v>
      </c>
      <c r="K30" s="57">
        <f t="shared" si="3"/>
        <v>0.26044237663893305</v>
      </c>
      <c r="L30" s="57">
        <f t="shared" si="4"/>
        <v>0.84124835194435987</v>
      </c>
      <c r="M30" s="57">
        <f t="shared" si="5"/>
        <v>0.58483929094303144</v>
      </c>
      <c r="N30" s="65">
        <f t="shared" si="6"/>
        <v>0.33636792405367227</v>
      </c>
      <c r="O30" s="68">
        <f t="shared" si="7"/>
        <v>8.9697919365289316</v>
      </c>
      <c r="P30" s="72">
        <f t="shared" si="8"/>
        <v>24.131910000000001</v>
      </c>
      <c r="Q30" s="56">
        <f>D30*$G$4</f>
        <v>7.1388441</v>
      </c>
      <c r="R30" s="57">
        <f>O30-Q30</f>
        <v>1.8309478365289316</v>
      </c>
      <c r="S30" s="42">
        <f t="shared" si="9"/>
        <v>51.603630000000003</v>
      </c>
      <c r="T30" s="44">
        <f t="shared" si="10"/>
        <v>-3.548098915771878E-2</v>
      </c>
    </row>
    <row r="31" spans="1:20" ht="14.25" x14ac:dyDescent="0.4">
      <c r="A31" s="87"/>
      <c r="B31" s="55" t="s">
        <v>155</v>
      </c>
      <c r="C31" s="56">
        <f>数据底稿!I37</f>
        <v>1024.1644699999999</v>
      </c>
      <c r="D31" s="56">
        <f t="shared" si="23"/>
        <v>204.83289400000001</v>
      </c>
      <c r="E31" s="62">
        <f t="shared" ref="E31:I31" si="26">$D31*I63</f>
        <v>201.39272202552092</v>
      </c>
      <c r="F31" s="57">
        <f t="shared" si="26"/>
        <v>1.5815136023171366</v>
      </c>
      <c r="G31" s="57">
        <f t="shared" si="26"/>
        <v>1.1125581547579224</v>
      </c>
      <c r="H31" s="57">
        <f t="shared" si="26"/>
        <v>0.61651958690344411</v>
      </c>
      <c r="I31" s="65">
        <f t="shared" si="26"/>
        <v>0.1295806305005768</v>
      </c>
      <c r="J31" s="62">
        <f t="shared" si="2"/>
        <v>3.0208908303828137</v>
      </c>
      <c r="K31" s="57">
        <f t="shared" si="3"/>
        <v>4.7445408069514097E-2</v>
      </c>
      <c r="L31" s="57">
        <f t="shared" si="4"/>
        <v>0.33376744642737671</v>
      </c>
      <c r="M31" s="57">
        <f t="shared" si="5"/>
        <v>0.36991175214206645</v>
      </c>
      <c r="N31" s="65">
        <f t="shared" si="6"/>
        <v>0.1295806305005768</v>
      </c>
      <c r="O31" s="68">
        <f>SUM(J31:N31)</f>
        <v>3.9015960675223478</v>
      </c>
      <c r="P31" s="72">
        <f t="shared" si="8"/>
        <v>2.4</v>
      </c>
      <c r="Q31" s="56">
        <f>D31*$G$4</f>
        <v>3.0724934099999999</v>
      </c>
      <c r="R31" s="57">
        <f>O31-Q31</f>
        <v>0.82910265752234791</v>
      </c>
      <c r="S31" s="42">
        <f t="shared" si="9"/>
        <v>47.743119999999998</v>
      </c>
      <c r="T31" s="44">
        <f t="shared" si="10"/>
        <v>-1.7365908585830755E-2</v>
      </c>
    </row>
    <row r="32" spans="1:20" ht="14.25" x14ac:dyDescent="0.4">
      <c r="A32" s="87"/>
      <c r="B32" s="55" t="s">
        <v>156</v>
      </c>
      <c r="C32" s="56">
        <f>数据底稿!U37</f>
        <v>1449.6943999999999</v>
      </c>
      <c r="D32" s="56">
        <f t="shared" si="23"/>
        <v>289.93887999999998</v>
      </c>
      <c r="E32" s="62">
        <f t="shared" ref="E32:I32" si="27">$D32*I64</f>
        <v>280.41546185959203</v>
      </c>
      <c r="F32" s="57">
        <f t="shared" si="27"/>
        <v>6.1543018094751138</v>
      </c>
      <c r="G32" s="57">
        <f t="shared" si="27"/>
        <v>1.1067866840445484</v>
      </c>
      <c r="H32" s="57">
        <f t="shared" si="27"/>
        <v>1.6903339478627204</v>
      </c>
      <c r="I32" s="65">
        <f t="shared" si="27"/>
        <v>0.57199569902553915</v>
      </c>
      <c r="J32" s="62">
        <f t="shared" si="2"/>
        <v>4.2062319278938807</v>
      </c>
      <c r="K32" s="57">
        <f t="shared" si="3"/>
        <v>0.18462905428425341</v>
      </c>
      <c r="L32" s="57">
        <f t="shared" si="4"/>
        <v>0.33203600521336452</v>
      </c>
      <c r="M32" s="57">
        <f t="shared" si="5"/>
        <v>1.0142003687176322</v>
      </c>
      <c r="N32" s="65">
        <f t="shared" si="6"/>
        <v>0.57199569902553915</v>
      </c>
      <c r="O32" s="68">
        <f t="shared" si="7"/>
        <v>6.30909305513467</v>
      </c>
      <c r="P32" s="72">
        <f t="shared" si="8"/>
        <v>67.708160000000007</v>
      </c>
      <c r="Q32" s="56">
        <f>D32*$G$4</f>
        <v>4.3490831999999999</v>
      </c>
      <c r="R32" s="57">
        <f>O32-Q32</f>
        <v>1.9600098551346701</v>
      </c>
      <c r="S32" s="42">
        <f t="shared" si="9"/>
        <v>78.062079999999995</v>
      </c>
      <c r="T32" s="44">
        <f t="shared" si="10"/>
        <v>-2.5108347806446742E-2</v>
      </c>
    </row>
    <row r="33" spans="1:21" ht="14.25" x14ac:dyDescent="0.4">
      <c r="A33" s="87"/>
      <c r="B33" s="55" t="s">
        <v>157</v>
      </c>
      <c r="C33" s="56">
        <f>数据底稿!O37</f>
        <v>763.49552000000006</v>
      </c>
      <c r="D33" s="56">
        <f t="shared" si="23"/>
        <v>152.69910400000001</v>
      </c>
      <c r="E33" s="62">
        <f t="shared" ref="E33:I33" si="28">$D33*I65</f>
        <v>144.90026932641356</v>
      </c>
      <c r="F33" s="57">
        <f t="shared" si="28"/>
        <v>5.568635654948368</v>
      </c>
      <c r="G33" s="57">
        <f t="shared" si="28"/>
        <v>1.0447896590161525</v>
      </c>
      <c r="H33" s="57">
        <f t="shared" si="28"/>
        <v>0.68463954808242111</v>
      </c>
      <c r="I33" s="65">
        <f t="shared" si="28"/>
        <v>0.50077120382754359</v>
      </c>
      <c r="J33" s="62">
        <f t="shared" si="2"/>
        <v>2.1735040398962036</v>
      </c>
      <c r="K33" s="57">
        <f t="shared" si="3"/>
        <v>0.16705906964845102</v>
      </c>
      <c r="L33" s="57">
        <f t="shared" si="4"/>
        <v>0.31343689770484573</v>
      </c>
      <c r="M33" s="57">
        <f t="shared" si="5"/>
        <v>0.41078372884945263</v>
      </c>
      <c r="N33" s="65">
        <f t="shared" si="6"/>
        <v>0.50077120382754359</v>
      </c>
      <c r="O33" s="68">
        <f t="shared" si="7"/>
        <v>3.5655549399264967</v>
      </c>
      <c r="P33" s="72">
        <f t="shared" si="8"/>
        <v>14.410450000000001</v>
      </c>
      <c r="Q33" s="56">
        <f>D33*$G$4</f>
        <v>2.2904865600000002</v>
      </c>
      <c r="R33" s="57">
        <f>O33-Q33</f>
        <v>1.2750683799264966</v>
      </c>
      <c r="S33" s="42">
        <f t="shared" si="9"/>
        <v>19.07517</v>
      </c>
      <c r="T33" s="44">
        <f t="shared" si="10"/>
        <v>-6.6844404528321189E-2</v>
      </c>
    </row>
    <row r="34" spans="1:21" ht="14.25" x14ac:dyDescent="0.4">
      <c r="A34" s="87"/>
      <c r="B34" s="55" t="s">
        <v>158</v>
      </c>
      <c r="C34" s="56">
        <f>数据底稿!R37</f>
        <v>711.88409999999999</v>
      </c>
      <c r="D34" s="56">
        <f t="shared" si="23"/>
        <v>142.37682000000001</v>
      </c>
      <c r="E34" s="62">
        <f t="shared" ref="E34:I34" si="29">$D34*I66</f>
        <v>134.93610158211033</v>
      </c>
      <c r="F34" s="57">
        <f t="shared" si="29"/>
        <v>5.1464107585861063</v>
      </c>
      <c r="G34" s="57">
        <f t="shared" si="29"/>
        <v>1.0441182238179711</v>
      </c>
      <c r="H34" s="57">
        <f t="shared" si="29"/>
        <v>0.20331189722830459</v>
      </c>
      <c r="I34" s="65">
        <f t="shared" si="29"/>
        <v>1.0468775382573143</v>
      </c>
      <c r="J34" s="62">
        <f t="shared" si="2"/>
        <v>2.0240415237316549</v>
      </c>
      <c r="K34" s="57">
        <f t="shared" si="3"/>
        <v>0.15439232275758319</v>
      </c>
      <c r="L34" s="57">
        <f t="shared" si="4"/>
        <v>0.31323546714539136</v>
      </c>
      <c r="M34" s="57">
        <f t="shared" si="5"/>
        <v>0.12198713833698274</v>
      </c>
      <c r="N34" s="65">
        <f t="shared" si="6"/>
        <v>1.0468775382573143</v>
      </c>
      <c r="O34" s="68">
        <f t="shared" si="7"/>
        <v>3.6605339902289264</v>
      </c>
      <c r="P34" s="72">
        <f t="shared" si="8"/>
        <v>2.35</v>
      </c>
      <c r="Q34" s="56">
        <f>D34*$G$4</f>
        <v>2.1356523000000003</v>
      </c>
      <c r="R34" s="57">
        <f>O34-Q34</f>
        <v>1.5248816902289262</v>
      </c>
      <c r="S34" s="42">
        <f t="shared" si="9"/>
        <v>25.31119</v>
      </c>
      <c r="T34" s="44">
        <f t="shared" si="10"/>
        <v>-6.024535749717521E-2</v>
      </c>
    </row>
    <row r="35" spans="1:21" ht="14.25" x14ac:dyDescent="0.4">
      <c r="A35" s="94"/>
      <c r="B35" s="51" t="s">
        <v>159</v>
      </c>
      <c r="C35" s="58">
        <f>数据底稿!L37</f>
        <v>0</v>
      </c>
      <c r="D35" s="58">
        <f t="shared" si="23"/>
        <v>0</v>
      </c>
      <c r="E35" s="63">
        <f t="shared" ref="E35:I35" si="30">$D35*I67</f>
        <v>0</v>
      </c>
      <c r="F35" s="59">
        <f t="shared" si="30"/>
        <v>0</v>
      </c>
      <c r="G35" s="59">
        <f t="shared" si="30"/>
        <v>0</v>
      </c>
      <c r="H35" s="59">
        <f t="shared" si="30"/>
        <v>0</v>
      </c>
      <c r="I35" s="66">
        <f t="shared" si="30"/>
        <v>0</v>
      </c>
      <c r="J35" s="63">
        <f t="shared" si="2"/>
        <v>0</v>
      </c>
      <c r="K35" s="59">
        <f t="shared" si="3"/>
        <v>0</v>
      </c>
      <c r="L35" s="59">
        <f t="shared" si="4"/>
        <v>0</v>
      </c>
      <c r="M35" s="59">
        <f t="shared" si="5"/>
        <v>0</v>
      </c>
      <c r="N35" s="66">
        <f t="shared" si="6"/>
        <v>0</v>
      </c>
      <c r="O35" s="69">
        <f t="shared" si="7"/>
        <v>0</v>
      </c>
      <c r="P35" s="73">
        <f t="shared" si="8"/>
        <v>24.378209999999999</v>
      </c>
      <c r="Q35" s="58">
        <f>D35*$G$4</f>
        <v>0</v>
      </c>
      <c r="R35" s="59">
        <f>O35-Q35</f>
        <v>0</v>
      </c>
      <c r="S35" s="59">
        <f t="shared" si="9"/>
        <v>62.21358</v>
      </c>
      <c r="T35" s="60">
        <f t="shared" si="10"/>
        <v>0</v>
      </c>
    </row>
    <row r="36" spans="1:21" ht="14.25" x14ac:dyDescent="0.4">
      <c r="A36" s="87" t="s">
        <v>181</v>
      </c>
      <c r="B36" s="38" t="s">
        <v>160</v>
      </c>
      <c r="C36" s="41">
        <f>数据底稿!F56</f>
        <v>78.983999999999995</v>
      </c>
      <c r="D36" s="41">
        <f>C36*$B$7</f>
        <v>15.796799999999999</v>
      </c>
      <c r="E36" s="62">
        <f t="shared" ref="E36:I36" si="31">$D36*I68</f>
        <v>15.35210382250157</v>
      </c>
      <c r="F36" s="57">
        <f t="shared" si="31"/>
        <v>0.23708277095585845</v>
      </c>
      <c r="G36" s="57">
        <f t="shared" si="31"/>
        <v>0.17261304698821081</v>
      </c>
      <c r="H36" s="57">
        <f t="shared" si="31"/>
        <v>3.2470437271422702E-2</v>
      </c>
      <c r="I36" s="65">
        <f t="shared" si="31"/>
        <v>2.5299222829339462E-3</v>
      </c>
      <c r="J36" s="62">
        <f t="shared" si="2"/>
        <v>0.23028155733752353</v>
      </c>
      <c r="K36" s="57">
        <f t="shared" si="3"/>
        <v>7.1124831286757534E-3</v>
      </c>
      <c r="L36" s="57">
        <f t="shared" si="4"/>
        <v>5.1783914096463241E-2</v>
      </c>
      <c r="M36" s="57">
        <f t="shared" si="5"/>
        <v>1.9482262362853619E-2</v>
      </c>
      <c r="N36" s="65">
        <f t="shared" si="6"/>
        <v>2.5299222829339462E-3</v>
      </c>
      <c r="O36" s="70">
        <f t="shared" si="7"/>
        <v>0.31119013920845007</v>
      </c>
      <c r="P36" s="48">
        <f t="shared" si="8"/>
        <v>1.20529</v>
      </c>
      <c r="Q36" s="41">
        <f>D36*$G$4</f>
        <v>0.23695199999999997</v>
      </c>
      <c r="R36" s="42">
        <f>O36-Q36</f>
        <v>7.4238139208450099E-2</v>
      </c>
      <c r="S36" s="42">
        <f t="shared" si="9"/>
        <v>5.2125899999999996</v>
      </c>
      <c r="T36" s="44">
        <f t="shared" si="10"/>
        <v>-1.4242082958462129E-2</v>
      </c>
    </row>
    <row r="37" spans="1:21" ht="14.25" x14ac:dyDescent="0.4">
      <c r="A37" s="87"/>
      <c r="B37" s="38" t="s">
        <v>161</v>
      </c>
      <c r="C37" s="41">
        <f>数据底稿!I56</f>
        <v>142.75730999999999</v>
      </c>
      <c r="D37" s="41">
        <f>C37*$B$7</f>
        <v>28.551462000000001</v>
      </c>
      <c r="E37" s="62">
        <f t="shared" ref="E37:I37" si="32">$D37*I69</f>
        <v>27.286579192881241</v>
      </c>
      <c r="F37" s="57">
        <f t="shared" si="32"/>
        <v>0.89588088940042898</v>
      </c>
      <c r="G37" s="57">
        <f t="shared" si="32"/>
        <v>0.35907550659011794</v>
      </c>
      <c r="H37" s="57">
        <f t="shared" si="32"/>
        <v>7.7432692323887086E-3</v>
      </c>
      <c r="I37" s="65">
        <f t="shared" si="32"/>
        <v>2.1831418958209712E-3</v>
      </c>
      <c r="J37" s="62">
        <f t="shared" si="2"/>
        <v>0.4092986878932186</v>
      </c>
      <c r="K37" s="57">
        <f t="shared" si="3"/>
        <v>2.6876426682012868E-2</v>
      </c>
      <c r="L37" s="57">
        <f t="shared" si="4"/>
        <v>0.10772265197703539</v>
      </c>
      <c r="M37" s="57">
        <f t="shared" si="5"/>
        <v>4.6459615394332252E-3</v>
      </c>
      <c r="N37" s="65">
        <f t="shared" si="6"/>
        <v>2.1831418958209712E-3</v>
      </c>
      <c r="O37" s="70">
        <f t="shared" si="7"/>
        <v>0.55072686998752096</v>
      </c>
      <c r="P37" s="48">
        <f t="shared" si="8"/>
        <v>2.4623499999999998</v>
      </c>
      <c r="Q37" s="41">
        <f>D37*$G$4</f>
        <v>0.42827193000000002</v>
      </c>
      <c r="R37" s="42">
        <f>O37-Q37</f>
        <v>0.12245493998752094</v>
      </c>
      <c r="S37" s="42">
        <f t="shared" si="9"/>
        <v>6.0468400000000004</v>
      </c>
      <c r="T37" s="44">
        <f t="shared" si="10"/>
        <v>-2.0251063363264273E-2</v>
      </c>
    </row>
    <row r="38" spans="1:21" ht="14.25" x14ac:dyDescent="0.4">
      <c r="A38" s="87"/>
      <c r="B38" s="38" t="s">
        <v>162</v>
      </c>
      <c r="C38" s="41">
        <f>数据底稿!B56</f>
        <v>0</v>
      </c>
      <c r="D38" s="41">
        <f>C38*$B$7</f>
        <v>0</v>
      </c>
      <c r="E38" s="62">
        <f t="shared" ref="E38:I38" si="33">$D38*I70</f>
        <v>0</v>
      </c>
      <c r="F38" s="57">
        <f t="shared" si="33"/>
        <v>0</v>
      </c>
      <c r="G38" s="57">
        <f t="shared" si="33"/>
        <v>0</v>
      </c>
      <c r="H38" s="57">
        <f t="shared" si="33"/>
        <v>0</v>
      </c>
      <c r="I38" s="65">
        <f t="shared" si="33"/>
        <v>0</v>
      </c>
      <c r="J38" s="62">
        <f t="shared" si="2"/>
        <v>0</v>
      </c>
      <c r="K38" s="57">
        <f t="shared" si="3"/>
        <v>0</v>
      </c>
      <c r="L38" s="57">
        <f t="shared" si="4"/>
        <v>0</v>
      </c>
      <c r="M38" s="57">
        <f t="shared" si="5"/>
        <v>0</v>
      </c>
      <c r="N38" s="65">
        <f t="shared" si="6"/>
        <v>0</v>
      </c>
      <c r="O38" s="70">
        <f t="shared" si="7"/>
        <v>0</v>
      </c>
      <c r="P38" s="48">
        <f t="shared" si="8"/>
        <v>0</v>
      </c>
      <c r="Q38" s="41">
        <f>D38*$G$4</f>
        <v>0</v>
      </c>
      <c r="R38" s="42">
        <f>O38-Q38</f>
        <v>0</v>
      </c>
      <c r="S38" s="42">
        <f t="shared" si="9"/>
        <v>3.4059300000000001</v>
      </c>
      <c r="T38" s="44">
        <f t="shared" si="10"/>
        <v>0</v>
      </c>
    </row>
    <row r="39" spans="1:21" ht="14.25" x14ac:dyDescent="0.4">
      <c r="A39" s="87"/>
      <c r="B39" s="38" t="s">
        <v>163</v>
      </c>
      <c r="C39" s="41">
        <f>数据底稿!M56</f>
        <v>0</v>
      </c>
      <c r="D39" s="41">
        <f>C39*$B$7</f>
        <v>0</v>
      </c>
      <c r="E39" s="62">
        <f t="shared" ref="E39:I39" si="34">$D39*I71</f>
        <v>0</v>
      </c>
      <c r="F39" s="57">
        <f t="shared" si="34"/>
        <v>0</v>
      </c>
      <c r="G39" s="57">
        <f t="shared" si="34"/>
        <v>0</v>
      </c>
      <c r="H39" s="57">
        <f t="shared" si="34"/>
        <v>0</v>
      </c>
      <c r="I39" s="65">
        <f t="shared" si="34"/>
        <v>0</v>
      </c>
      <c r="J39" s="62">
        <f t="shared" si="2"/>
        <v>0</v>
      </c>
      <c r="K39" s="57">
        <f t="shared" si="3"/>
        <v>0</v>
      </c>
      <c r="L39" s="57">
        <f t="shared" si="4"/>
        <v>0</v>
      </c>
      <c r="M39" s="57">
        <f t="shared" si="5"/>
        <v>0</v>
      </c>
      <c r="N39" s="65">
        <f t="shared" si="6"/>
        <v>0</v>
      </c>
      <c r="O39" s="70">
        <f t="shared" si="7"/>
        <v>0</v>
      </c>
      <c r="P39" s="48">
        <f t="shared" si="8"/>
        <v>0</v>
      </c>
      <c r="Q39" s="41">
        <f>D39*$G$4</f>
        <v>0</v>
      </c>
      <c r="R39" s="42">
        <f>O39-Q39</f>
        <v>0</v>
      </c>
      <c r="S39" s="42">
        <f t="shared" si="9"/>
        <v>4.4069799999999999</v>
      </c>
      <c r="T39" s="44">
        <f t="shared" si="10"/>
        <v>0</v>
      </c>
    </row>
    <row r="40" spans="1:21" ht="14.25" x14ac:dyDescent="0.4">
      <c r="A40" s="87"/>
      <c r="B40" s="38" t="s">
        <v>164</v>
      </c>
      <c r="C40" s="41">
        <f>数据底稿!P56</f>
        <v>14.268611708700002</v>
      </c>
      <c r="D40" s="41">
        <f>C40*$B$7</f>
        <v>2.8537223417400006</v>
      </c>
      <c r="E40" s="62">
        <f t="shared" ref="E40:I40" si="35">$D40*I72</f>
        <v>2.6011743385239159</v>
      </c>
      <c r="F40" s="57">
        <f t="shared" si="35"/>
        <v>0.19635386213330297</v>
      </c>
      <c r="G40" s="57">
        <f t="shared" si="35"/>
        <v>4.1483324439008033E-2</v>
      </c>
      <c r="H40" s="57">
        <f t="shared" si="35"/>
        <v>1.2724392876684056E-2</v>
      </c>
      <c r="I40" s="65">
        <f t="shared" si="35"/>
        <v>1.9864237670897053E-3</v>
      </c>
      <c r="J40" s="62">
        <f t="shared" si="2"/>
        <v>3.9017615077858739E-2</v>
      </c>
      <c r="K40" s="57">
        <f t="shared" si="3"/>
        <v>5.8906158639990885E-3</v>
      </c>
      <c r="L40" s="57">
        <f t="shared" si="4"/>
        <v>1.244499733170241E-2</v>
      </c>
      <c r="M40" s="57">
        <f t="shared" si="5"/>
        <v>7.6346357260104331E-3</v>
      </c>
      <c r="N40" s="65">
        <f t="shared" si="6"/>
        <v>1.9864237670897053E-3</v>
      </c>
      <c r="O40" s="70">
        <f t="shared" si="7"/>
        <v>6.6974287766660368E-2</v>
      </c>
      <c r="P40" s="48">
        <f t="shared" si="8"/>
        <v>0.94874999999999998</v>
      </c>
      <c r="Q40" s="41">
        <f>D40*$G$4</f>
        <v>4.2805835126100006E-2</v>
      </c>
      <c r="R40" s="42">
        <f>O40-Q40</f>
        <v>2.4168452640560362E-2</v>
      </c>
      <c r="S40" s="42">
        <f t="shared" si="9"/>
        <v>3.5233203100999999</v>
      </c>
      <c r="T40" s="44">
        <f t="shared" si="10"/>
        <v>-6.8595672585540215E-3</v>
      </c>
    </row>
    <row r="42" spans="1:21" x14ac:dyDescent="0.4">
      <c r="P42" s="45"/>
    </row>
    <row r="45" spans="1:21" ht="14.25" x14ac:dyDescent="0.4">
      <c r="A45" s="46" t="s">
        <v>182</v>
      </c>
    </row>
    <row r="46" spans="1:21" ht="14.25" x14ac:dyDescent="0.4">
      <c r="A46" s="47">
        <v>42916</v>
      </c>
      <c r="B46" s="38" t="s">
        <v>183</v>
      </c>
      <c r="I46" s="38" t="s">
        <v>184</v>
      </c>
      <c r="R46" s="40"/>
      <c r="S46" s="40"/>
    </row>
    <row r="47" spans="1:21" ht="14.25" x14ac:dyDescent="0.4">
      <c r="A47" s="38" t="s">
        <v>185</v>
      </c>
      <c r="C47" s="38" t="s">
        <v>137</v>
      </c>
      <c r="D47" s="38" t="s">
        <v>129</v>
      </c>
      <c r="E47" s="38" t="s">
        <v>131</v>
      </c>
      <c r="F47" s="38" t="s">
        <v>133</v>
      </c>
      <c r="G47" s="38" t="s">
        <v>134</v>
      </c>
      <c r="H47" s="38" t="s">
        <v>186</v>
      </c>
      <c r="I47" s="38" t="s">
        <v>187</v>
      </c>
      <c r="J47" s="38" t="s">
        <v>129</v>
      </c>
      <c r="K47" s="38" t="s">
        <v>131</v>
      </c>
      <c r="L47" s="38" t="s">
        <v>133</v>
      </c>
      <c r="M47" s="38" t="s">
        <v>134</v>
      </c>
      <c r="O47" s="38" t="s">
        <v>138</v>
      </c>
      <c r="P47" s="38" t="s">
        <v>188</v>
      </c>
      <c r="Q47" s="38" t="s">
        <v>189</v>
      </c>
      <c r="U47" s="43"/>
    </row>
    <row r="48" spans="1:21" ht="14.25" x14ac:dyDescent="0.4">
      <c r="A48" s="38" t="str">
        <f>[1]!to_tradecode(B48)</f>
        <v>601398</v>
      </c>
      <c r="B48" s="38" t="s">
        <v>179</v>
      </c>
      <c r="C48" s="48">
        <f>[1]!s_stmnote_bank(A48,"31",$A$46,100000000)</f>
        <v>131076.89000000001</v>
      </c>
      <c r="D48" s="48">
        <f>[1]!s_stmnote_bank(A48,"34",$A$46,100000000)</f>
        <v>5411.48</v>
      </c>
      <c r="E48" s="48">
        <f>[1]!s_stmnote_bank(A48,"37",$A$46,100000000)</f>
        <v>1048.5</v>
      </c>
      <c r="F48" s="48">
        <f>[1]!s_stmnote_bank(A48,"40",$A$46,100000000)</f>
        <v>928.74</v>
      </c>
      <c r="G48" s="48">
        <f>[1]!s_stmnote_bank(A48,"43",$A$46,100000000)</f>
        <v>193.48</v>
      </c>
      <c r="H48" s="48">
        <f>[1]!s_stmnote_bank_1n(A48,$A$46,1,100000000)</f>
        <v>138659.09</v>
      </c>
      <c r="I48" s="49">
        <f>C48/$H48</f>
        <v>0.94531768526679372</v>
      </c>
      <c r="J48" s="49">
        <f>D48/$H48</f>
        <v>3.9027228579100008E-2</v>
      </c>
      <c r="K48" s="49">
        <f>E48/$H48</f>
        <v>7.5617112444629486E-3</v>
      </c>
      <c r="L48" s="49">
        <f>F48/$H48</f>
        <v>6.6980102061826603E-3</v>
      </c>
      <c r="M48" s="49">
        <f>G48/$H48</f>
        <v>1.3953647034608404E-3</v>
      </c>
      <c r="N48" s="40">
        <f>SUM(I48:M48)</f>
        <v>1.0000000000000002</v>
      </c>
      <c r="O48" s="43"/>
      <c r="Q48" s="83">
        <f>[1]!s_stm07_is(A48,"W99893153",$A$46,1,100000000)</f>
        <v>1536.87</v>
      </c>
    </row>
    <row r="49" spans="1:17" ht="14.25" x14ac:dyDescent="0.4">
      <c r="A49" s="38" t="str">
        <f>[1]!to_tradecode(B49)</f>
        <v>601939</v>
      </c>
      <c r="B49" s="38" t="s">
        <v>141</v>
      </c>
      <c r="C49" s="48">
        <f>[1]!s_stmnote_bank(A49,"31",$A$46,100000000)</f>
        <v>119629.13</v>
      </c>
      <c r="D49" s="48">
        <f>[1]!s_stmnote_bank(A49,"34",$A$46,100000000)</f>
        <v>3553.56</v>
      </c>
      <c r="E49" s="48">
        <f>[1]!s_stmnote_bank(A49,"37",$A$46,100000000)</f>
        <v>780.07</v>
      </c>
      <c r="F49" s="48">
        <f>[1]!s_stmnote_bank(A49,"40",$A$46,100000000)</f>
        <v>900.44</v>
      </c>
      <c r="G49" s="48">
        <f>[1]!s_stmnote_bank(A49,"43",$A$46,100000000)</f>
        <v>207.01</v>
      </c>
      <c r="H49" s="48">
        <f>[1]!s_stmnote_bank_1n(A49,$A$46,1,100000000)</f>
        <v>125070.21</v>
      </c>
      <c r="I49" s="49">
        <f t="shared" ref="I49:I72" si="36">C49/$H49</f>
        <v>0.95649579544161634</v>
      </c>
      <c r="J49" s="49">
        <f t="shared" ref="J49:J72" si="37">D49/$H49</f>
        <v>2.8412521255061454E-2</v>
      </c>
      <c r="K49" s="49">
        <f t="shared" ref="K49:K72" si="38">E49/$H49</f>
        <v>6.2370567699534529E-3</v>
      </c>
      <c r="L49" s="49">
        <f t="shared" ref="L49:L72" si="39">F49/$H49</f>
        <v>7.1994761982089898E-3</v>
      </c>
      <c r="M49" s="49">
        <f t="shared" ref="M49:M72" si="40">G49/$H49</f>
        <v>1.6551503351597474E-3</v>
      </c>
      <c r="N49" s="40">
        <f t="shared" ref="N49:N72" si="41">SUM(I49:M49)</f>
        <v>1</v>
      </c>
      <c r="O49" s="42">
        <v>3172.48</v>
      </c>
      <c r="P49" s="38">
        <v>17.059999999999999</v>
      </c>
      <c r="Q49" s="83">
        <f>[1]!s_stm07_is(A49,"W99893153",$A$46,1,100000000)</f>
        <v>1390.09</v>
      </c>
    </row>
    <row r="50" spans="1:17" ht="14.25" x14ac:dyDescent="0.4">
      <c r="A50" s="38" t="str">
        <f>[1]!to_tradecode(B50)</f>
        <v>601288</v>
      </c>
      <c r="B50" s="38" t="s">
        <v>142</v>
      </c>
      <c r="C50" s="48">
        <f>[1]!s_stmnote_bank(A50,"31",$A$46,100000000)</f>
        <v>98066.33</v>
      </c>
      <c r="D50" s="48">
        <f>[1]!s_stmnote_bank(A50,"34",$A$46,100000000)</f>
        <v>3768.54</v>
      </c>
      <c r="E50" s="48">
        <f>[1]!s_stmnote_bank(A50,"37",$A$46,100000000)</f>
        <v>398.76</v>
      </c>
      <c r="F50" s="48">
        <f>[1]!s_stmnote_bank(A50,"40",$A$46,100000000)</f>
        <v>1649.35</v>
      </c>
      <c r="G50" s="48">
        <f>[1]!s_stmnote_bank(A50,"43",$A$46,100000000)</f>
        <v>236.2</v>
      </c>
      <c r="H50" s="48">
        <f>[1]!s_stmnote_bank_1n(A50,$A$46,1,100000000)</f>
        <v>104119.18</v>
      </c>
      <c r="I50" s="49">
        <f t="shared" si="36"/>
        <v>0.94186613840024491</v>
      </c>
      <c r="J50" s="49">
        <f t="shared" si="37"/>
        <v>3.6194484051833682E-2</v>
      </c>
      <c r="K50" s="49">
        <f t="shared" si="38"/>
        <v>3.8298419176947033E-3</v>
      </c>
      <c r="L50" s="49">
        <f t="shared" si="39"/>
        <v>1.5840981459900087E-2</v>
      </c>
      <c r="M50" s="49">
        <f t="shared" si="40"/>
        <v>2.2685541703267352E-3</v>
      </c>
      <c r="N50" s="40">
        <f t="shared" si="41"/>
        <v>1.0000000000000002</v>
      </c>
      <c r="O50" s="42">
        <v>4347.78</v>
      </c>
      <c r="P50" s="38">
        <v>48.9</v>
      </c>
      <c r="Q50" s="83">
        <f>[1]!s_stm07_is(A50,"W99893153",$A$46,1,100000000)</f>
        <v>1086.7</v>
      </c>
    </row>
    <row r="51" spans="1:17" ht="14.25" x14ac:dyDescent="0.4">
      <c r="A51" s="38" t="str">
        <f>[1]!to_tradecode(B51)</f>
        <v>601988</v>
      </c>
      <c r="B51" s="38" t="s">
        <v>143</v>
      </c>
      <c r="C51" s="48">
        <f>[1]!s_stmnote_bank(A51,"31",$A$46,100000000)</f>
        <v>102086.58</v>
      </c>
      <c r="D51" s="48">
        <f>[1]!s_stmnote_bank(A51,"34",$A$46,100000000)</f>
        <v>2950.2</v>
      </c>
      <c r="E51" s="48">
        <f>[1]!s_stmnote_bank(A51,"37",$A$46,100000000)</f>
        <v>638.73</v>
      </c>
      <c r="F51" s="48">
        <f>[1]!s_stmnote_bank(A51,"40",$A$46,100000000)</f>
        <v>318.69</v>
      </c>
      <c r="G51" s="48">
        <f>[1]!s_stmnote_bank(A51,"43",$A$46,100000000)</f>
        <v>512.83000000000004</v>
      </c>
      <c r="H51" s="48">
        <f>[1]!s_stmnote_bank_1n(A51,$A$46,1,100000000)</f>
        <v>106507.03</v>
      </c>
      <c r="I51" s="49">
        <f t="shared" si="36"/>
        <v>0.95849616687274075</v>
      </c>
      <c r="J51" s="49">
        <f t="shared" si="37"/>
        <v>2.7699580018333062E-2</v>
      </c>
      <c r="K51" s="49">
        <f t="shared" si="38"/>
        <v>5.9970689258727807E-3</v>
      </c>
      <c r="L51" s="49">
        <f t="shared" si="39"/>
        <v>2.9921968531091327E-3</v>
      </c>
      <c r="M51" s="49">
        <f t="shared" si="40"/>
        <v>4.8149873299443242E-3</v>
      </c>
      <c r="N51" s="40">
        <f t="shared" si="41"/>
        <v>1</v>
      </c>
      <c r="O51" s="42"/>
      <c r="P51" s="38">
        <v>24.59</v>
      </c>
      <c r="Q51" s="83">
        <f>[1]!s_stm07_is(A51,"W99893153",$A$46,1,100000000)</f>
        <v>1105.49</v>
      </c>
    </row>
    <row r="52" spans="1:17" ht="14.25" x14ac:dyDescent="0.4">
      <c r="A52" s="38" t="str">
        <f>[1]!to_tradecode(B52)</f>
        <v>601328</v>
      </c>
      <c r="B52" s="38" t="s">
        <v>144</v>
      </c>
      <c r="C52" s="48">
        <f>[1]!s_stmnote_bank(A52,"31",$A$46,100000000)</f>
        <v>41777.620000000003</v>
      </c>
      <c r="D52" s="48">
        <f>[1]!s_stmnote_bank(A52,"34",$A$46,100000000)</f>
        <v>1264.32</v>
      </c>
      <c r="E52" s="48">
        <f>[1]!s_stmnote_bank(A52,"37",$A$46,100000000)</f>
        <v>187.88</v>
      </c>
      <c r="F52" s="48">
        <f>[1]!s_stmnote_bank(A52,"40",$A$46,100000000)</f>
        <v>253.28</v>
      </c>
      <c r="G52" s="48">
        <f>[1]!s_stmnote_bank(A52,"43",$A$46,100000000)</f>
        <v>218.37</v>
      </c>
      <c r="H52" s="48">
        <f>[1]!s_stmnote_bank_1n(A52,$A$46,1,100000000)</f>
        <v>43701.47</v>
      </c>
      <c r="I52" s="49">
        <f t="shared" si="36"/>
        <v>0.95597745339001183</v>
      </c>
      <c r="J52" s="49">
        <f t="shared" si="37"/>
        <v>2.8930834592062919E-2</v>
      </c>
      <c r="K52" s="49">
        <f t="shared" si="38"/>
        <v>4.2991688837926961E-3</v>
      </c>
      <c r="L52" s="49">
        <f t="shared" si="39"/>
        <v>5.795686049004759E-3</v>
      </c>
      <c r="M52" s="49">
        <f t="shared" si="40"/>
        <v>4.9968570851278002E-3</v>
      </c>
      <c r="N52" s="40">
        <f t="shared" si="41"/>
        <v>0.99999999999999989</v>
      </c>
      <c r="O52" s="42"/>
      <c r="P52" s="38">
        <v>26.55</v>
      </c>
      <c r="Q52" s="83">
        <f>[1]!s_stm07_is(A52,"W99893153",$A$46,1,100000000)</f>
        <v>392.22</v>
      </c>
    </row>
    <row r="53" spans="1:17" ht="14.25" x14ac:dyDescent="0.4">
      <c r="A53" s="38" t="str">
        <f>[1]!to_tradecode(B53)</f>
        <v>600036</v>
      </c>
      <c r="B53" s="38" t="s">
        <v>145</v>
      </c>
      <c r="C53" s="48">
        <f>[1]!s_stmnote_bank(A53,"31",$A$46,100000000)</f>
        <v>34187.4</v>
      </c>
      <c r="D53" s="48">
        <f>[1]!s_stmnote_bank(A53,"34",$A$46,100000000)</f>
        <v>607.39</v>
      </c>
      <c r="E53" s="48">
        <f>[1]!s_stmnote_bank(A53,"37",$A$46,100000000)</f>
        <v>215.44</v>
      </c>
      <c r="F53" s="48">
        <f>[1]!s_stmnote_bank(A53,"40",$A$46,100000000)</f>
        <v>235.31</v>
      </c>
      <c r="G53" s="48">
        <f>[1]!s_stmnote_bank(A53,"43",$A$46,100000000)</f>
        <v>153.84</v>
      </c>
      <c r="H53" s="48">
        <f>[1]!s_stmnote_bank_1n(A53,$A$46,1,100000000)</f>
        <v>35399.379999999997</v>
      </c>
      <c r="I53" s="49">
        <f t="shared" si="36"/>
        <v>0.96576267719943132</v>
      </c>
      <c r="J53" s="49">
        <f t="shared" si="37"/>
        <v>1.7158210115544397E-2</v>
      </c>
      <c r="K53" s="49">
        <f t="shared" si="38"/>
        <v>6.0859822968650865E-3</v>
      </c>
      <c r="L53" s="49">
        <f t="shared" si="39"/>
        <v>6.647291562733585E-3</v>
      </c>
      <c r="M53" s="49">
        <f t="shared" si="40"/>
        <v>4.3458388254257567E-3</v>
      </c>
      <c r="N53" s="40">
        <f t="shared" si="41"/>
        <v>1.0000000000000002</v>
      </c>
      <c r="O53" s="42">
        <v>1452.02</v>
      </c>
      <c r="P53" s="38">
        <v>43.06</v>
      </c>
      <c r="Q53" s="83">
        <f>[1]!s_stm07_is(A53,"W99893153",$A$46,1,100000000)</f>
        <v>394.66</v>
      </c>
    </row>
    <row r="54" spans="1:17" ht="14.25" x14ac:dyDescent="0.4">
      <c r="A54" s="38" t="str">
        <f>[1]!to_tradecode(B54)</f>
        <v>601998</v>
      </c>
      <c r="B54" s="38" t="s">
        <v>146</v>
      </c>
      <c r="C54" s="48">
        <f>[1]!s_stmnote_bank(A54,"31",$A$46,100000000)</f>
        <v>29689.5</v>
      </c>
      <c r="D54" s="48">
        <f>[1]!s_stmnote_bank(A54,"34",$A$46,100000000)</f>
        <v>710.26</v>
      </c>
      <c r="E54" s="48">
        <f>[1]!s_stmnote_bank(A54,"37",$A$46,100000000)</f>
        <v>283.48</v>
      </c>
      <c r="F54" s="48">
        <f>[1]!s_stmnote_bank(A54,"40",$A$46,100000000)</f>
        <v>183.14</v>
      </c>
      <c r="G54" s="48">
        <f>[1]!s_stmnote_bank(A54,"43",$A$46,100000000)</f>
        <v>44.57</v>
      </c>
      <c r="H54" s="48">
        <f>[1]!s_stmnote_bank_1n(A54,$A$46,1,100000000)</f>
        <v>30910.95</v>
      </c>
      <c r="I54" s="49">
        <f t="shared" si="36"/>
        <v>0.9604848767184444</v>
      </c>
      <c r="J54" s="49">
        <f t="shared" si="37"/>
        <v>2.2977617963860702E-2</v>
      </c>
      <c r="K54" s="49">
        <f t="shared" si="38"/>
        <v>9.1708601644401103E-3</v>
      </c>
      <c r="L54" s="49">
        <f t="shared" si="39"/>
        <v>5.9247612900929928E-3</v>
      </c>
      <c r="M54" s="49">
        <f t="shared" si="40"/>
        <v>1.4418838631617599E-3</v>
      </c>
      <c r="N54" s="40">
        <f t="shared" si="41"/>
        <v>1</v>
      </c>
      <c r="O54" s="42">
        <v>873.12</v>
      </c>
      <c r="P54" s="38">
        <v>25.36</v>
      </c>
      <c r="Q54" s="83">
        <f>[1]!s_stm07_is(A54,"W99893153",$A$46,1,100000000)</f>
        <v>241.64</v>
      </c>
    </row>
    <row r="55" spans="1:17" ht="14.25" x14ac:dyDescent="0.4">
      <c r="A55" s="38" t="str">
        <f>[1]!to_tradecode(B55)</f>
        <v>600000</v>
      </c>
      <c r="B55" s="38" t="s">
        <v>147</v>
      </c>
      <c r="C55" s="48">
        <f>[1]!s_stmnote_bank(A55,"31",$A$46,100000000)</f>
        <v>28482.22</v>
      </c>
      <c r="D55" s="48">
        <f>[1]!s_stmnote_bank(A55,"34",$A$46,100000000)</f>
        <v>1158.67</v>
      </c>
      <c r="E55" s="48">
        <f>[1]!s_stmnote_bank(A55,"37",$A$46,100000000)</f>
        <v>272.98</v>
      </c>
      <c r="F55" s="48">
        <f>[1]!s_stmnote_bank(A55,"40",$A$46,100000000)</f>
        <v>223.38</v>
      </c>
      <c r="G55" s="48">
        <f>[1]!s_stmnote_bank(A55,"43",$A$46,100000000)</f>
        <v>137.61000000000001</v>
      </c>
      <c r="H55" s="48">
        <f>[1]!s_stmnote_bank_1n(A55,$A$46,1,100000000)</f>
        <v>30274.86</v>
      </c>
      <c r="I55" s="49">
        <f t="shared" si="36"/>
        <v>0.94078783518734688</v>
      </c>
      <c r="J55" s="49">
        <f t="shared" si="37"/>
        <v>3.8271688126716358E-2</v>
      </c>
      <c r="K55" s="49">
        <f t="shared" si="38"/>
        <v>9.0167221252220493E-3</v>
      </c>
      <c r="L55" s="49">
        <f t="shared" si="39"/>
        <v>7.3783991073782008E-3</v>
      </c>
      <c r="M55" s="49">
        <f t="shared" si="40"/>
        <v>4.5453554533365307E-3</v>
      </c>
      <c r="N55" s="40">
        <f t="shared" si="41"/>
        <v>1</v>
      </c>
      <c r="O55" s="42">
        <v>1084</v>
      </c>
      <c r="P55" s="38">
        <v>65.2</v>
      </c>
      <c r="Q55" s="83">
        <f>[1]!s_stm07_is(A55,"W99893153",$A$46,1,100000000)</f>
        <v>285.22000000000003</v>
      </c>
    </row>
    <row r="56" spans="1:17" ht="14.25" x14ac:dyDescent="0.4">
      <c r="A56" s="38" t="str">
        <f>[1]!to_tradecode(B56)</f>
        <v>600016</v>
      </c>
      <c r="B56" s="38" t="s">
        <v>148</v>
      </c>
      <c r="C56" s="48">
        <f>[1]!s_stmnote_bank(A56,"31",$A$46,100000000)</f>
        <v>25611.1</v>
      </c>
      <c r="D56" s="48">
        <f>[1]!s_stmnote_bank(A56,"34",$A$46,100000000)</f>
        <v>995.74</v>
      </c>
      <c r="E56" s="48">
        <f>[1]!s_stmnote_bank(A56,"37",$A$46,100000000)</f>
        <v>167.73</v>
      </c>
      <c r="F56" s="48">
        <f>[1]!s_stmnote_bank(A56,"40",$A$46,100000000)</f>
        <v>203.31</v>
      </c>
      <c r="G56" s="48">
        <f>[1]!s_stmnote_bank(A56,"43",$A$46,100000000)</f>
        <v>85.06</v>
      </c>
      <c r="H56" s="48">
        <f>[1]!s_stmnote_bank_1n(A56,$A$46,1,100000000)</f>
        <v>27062.94</v>
      </c>
      <c r="I56" s="49">
        <f t="shared" si="36"/>
        <v>0.94635320478854112</v>
      </c>
      <c r="J56" s="49">
        <f t="shared" si="37"/>
        <v>3.6793489546959796E-2</v>
      </c>
      <c r="K56" s="49">
        <f t="shared" si="38"/>
        <v>6.1977745211717573E-3</v>
      </c>
      <c r="L56" s="49">
        <f t="shared" si="39"/>
        <v>7.5124875567842966E-3</v>
      </c>
      <c r="M56" s="49">
        <f t="shared" si="40"/>
        <v>3.1430435865430735E-3</v>
      </c>
      <c r="N56" s="40">
        <f t="shared" si="41"/>
        <v>1</v>
      </c>
      <c r="O56" s="42"/>
      <c r="P56" s="38">
        <v>20.32</v>
      </c>
      <c r="Q56" s="83">
        <f>[1]!s_stm07_is(A56,"W99893153",$A$46,1,100000000)</f>
        <v>286.14</v>
      </c>
    </row>
    <row r="57" spans="1:17" ht="14.25" x14ac:dyDescent="0.4">
      <c r="A57" s="38" t="str">
        <f>[1]!to_tradecode(B57)</f>
        <v>601166</v>
      </c>
      <c r="B57" s="38" t="s">
        <v>149</v>
      </c>
      <c r="C57" s="48">
        <f>[1]!s_stmnote_bank(A57,"31",$A$46,100000000)</f>
        <v>21825.74</v>
      </c>
      <c r="D57" s="48">
        <f>[1]!s_stmnote_bank(A57,"34",$A$46,100000000)</f>
        <v>654.67999999999995</v>
      </c>
      <c r="E57" s="48">
        <f>[1]!s_stmnote_bank(A57,"37",$A$46,100000000)</f>
        <v>137.94999999999999</v>
      </c>
      <c r="F57" s="48">
        <f>[1]!s_stmnote_bank(A57,"40",$A$46,100000000)</f>
        <v>163.87</v>
      </c>
      <c r="G57" s="48">
        <f>[1]!s_stmnote_bank(A57,"43",$A$46,100000000)</f>
        <v>64.41</v>
      </c>
      <c r="H57" s="48">
        <f>[1]!s_stmnote_bank_1n(A57,$A$46,1,100000000)</f>
        <v>22846.65</v>
      </c>
      <c r="I57" s="49">
        <f t="shared" si="36"/>
        <v>0.95531467414259863</v>
      </c>
      <c r="J57" s="49">
        <f t="shared" si="37"/>
        <v>2.8655404621684137E-2</v>
      </c>
      <c r="K57" s="49">
        <f t="shared" si="38"/>
        <v>6.0380843581006394E-3</v>
      </c>
      <c r="L57" s="49">
        <f t="shared" si="39"/>
        <v>7.1726051740627177E-3</v>
      </c>
      <c r="M57" s="49">
        <f t="shared" si="40"/>
        <v>2.8192317035539123E-3</v>
      </c>
      <c r="N57" s="40">
        <f t="shared" si="41"/>
        <v>1</v>
      </c>
      <c r="O57" s="42">
        <v>1052.3</v>
      </c>
      <c r="P57" s="38">
        <v>159.46</v>
      </c>
      <c r="Q57" s="83">
        <f>[1]!s_stm07_is(A57,"W99893153",$A$46,1,100000000)</f>
        <v>318.39</v>
      </c>
    </row>
    <row r="58" spans="1:17" ht="14.25" x14ac:dyDescent="0.4">
      <c r="A58" s="38" t="str">
        <f>[1]!to_tradecode(B58)</f>
        <v>601818</v>
      </c>
      <c r="B58" s="38" t="s">
        <v>150</v>
      </c>
      <c r="C58" s="48">
        <f>[1]!s_stmnote_bank(A58,"31",$A$46,100000000)</f>
        <v>18681.919999999998</v>
      </c>
      <c r="D58" s="48">
        <f>[1]!s_stmnote_bank(A58,"34",$A$46,100000000)</f>
        <v>651.95000000000005</v>
      </c>
      <c r="E58" s="48">
        <f>[1]!s_stmnote_bank(A58,"37",$A$46,100000000)</f>
        <v>111.15</v>
      </c>
      <c r="F58" s="48">
        <f>[1]!s_stmnote_bank(A58,"40",$A$46,100000000)</f>
        <v>148.63999999999999</v>
      </c>
      <c r="G58" s="48">
        <f>[1]!s_stmnote_bank(A58,"43",$A$46,100000000)</f>
        <v>50.82</v>
      </c>
      <c r="H58" s="48">
        <f>[1]!s_stmnote_bank_1n(A58,$A$46,1,100000000)</f>
        <v>19644.48</v>
      </c>
      <c r="I58" s="49">
        <f t="shared" si="36"/>
        <v>0.95100099366335977</v>
      </c>
      <c r="J58" s="49">
        <f t="shared" si="37"/>
        <v>3.318743993223542E-2</v>
      </c>
      <c r="K58" s="49">
        <f t="shared" si="38"/>
        <v>5.6580779944289698E-3</v>
      </c>
      <c r="L58" s="49">
        <f t="shared" si="39"/>
        <v>7.5665021420775703E-3</v>
      </c>
      <c r="M58" s="49">
        <f t="shared" si="40"/>
        <v>2.5869862678981575E-3</v>
      </c>
      <c r="N58" s="40">
        <f t="shared" si="41"/>
        <v>0.99999999999999978</v>
      </c>
      <c r="O58" s="42">
        <v>575.38</v>
      </c>
      <c r="P58" s="38">
        <v>20.92</v>
      </c>
      <c r="Q58" s="83">
        <f>[1]!s_stm07_is(A58,"W99893153",$A$46,1,100000000)</f>
        <v>169.72</v>
      </c>
    </row>
    <row r="59" spans="1:17" ht="14.25" x14ac:dyDescent="0.4">
      <c r="A59" s="38" t="str">
        <f>[1]!to_tradecode(B59)</f>
        <v>600015</v>
      </c>
      <c r="B59" s="38" t="s">
        <v>151</v>
      </c>
      <c r="C59" s="48">
        <f>[1]!s_stmnote_bank(A59,"31",$A$46,100000000)</f>
        <v>12293.8</v>
      </c>
      <c r="D59" s="48">
        <f>[1]!s_stmnote_bank(A59,"34",$A$46,100000000)</f>
        <v>581.22</v>
      </c>
      <c r="E59" s="48">
        <f>[1]!s_stmnote_bank(A59,"37",$A$46,100000000)</f>
        <v>91.28</v>
      </c>
      <c r="F59" s="48">
        <f>[1]!s_stmnote_bank(A59,"40",$A$46,100000000)</f>
        <v>88.25</v>
      </c>
      <c r="G59" s="48">
        <f>[1]!s_stmnote_bank(A59,"43",$A$46,100000000)</f>
        <v>40.98</v>
      </c>
      <c r="H59" s="48">
        <f>[1]!s_stmnote_bank_1n(A59,$A$46,1,100000000)</f>
        <v>13095.53</v>
      </c>
      <c r="I59" s="49">
        <f t="shared" si="36"/>
        <v>0.93877834650449421</v>
      </c>
      <c r="J59" s="49">
        <f t="shared" si="37"/>
        <v>4.438308338799575E-2</v>
      </c>
      <c r="K59" s="49">
        <f t="shared" si="38"/>
        <v>6.970317352562286E-3</v>
      </c>
      <c r="L59" s="49">
        <f t="shared" si="39"/>
        <v>6.7389406919765747E-3</v>
      </c>
      <c r="M59" s="49">
        <f t="shared" si="40"/>
        <v>3.1293120629711049E-3</v>
      </c>
      <c r="N59" s="40">
        <f t="shared" si="41"/>
        <v>0.99999999999999989</v>
      </c>
      <c r="O59" s="42"/>
      <c r="P59" s="38">
        <v>14.73</v>
      </c>
      <c r="Q59" s="83">
        <f>[1]!s_stm07_is(A59,"W99893153",$A$46,1,100000000)</f>
        <v>99.07</v>
      </c>
    </row>
    <row r="60" spans="1:17" ht="14.25" x14ac:dyDescent="0.4">
      <c r="A60" s="38" t="str">
        <f>[1]!to_tradecode(B60)</f>
        <v>000001</v>
      </c>
      <c r="B60" s="38" t="s">
        <v>152</v>
      </c>
      <c r="C60" s="48">
        <f>[1]!s_stmnote_bank(A60,"31",$A$46,100000000)</f>
        <v>15002.35</v>
      </c>
      <c r="D60" s="48">
        <f>[1]!s_stmnote_bank(A60,"34",$A$46,100000000)</f>
        <v>660.09</v>
      </c>
      <c r="E60" s="48">
        <f>[1]!s_stmnote_bank(A60,"37",$A$46,100000000)</f>
        <v>137.6</v>
      </c>
      <c r="F60" s="48">
        <f>[1]!s_stmnote_bank(A60,"40",$A$46,100000000)</f>
        <v>49.77</v>
      </c>
      <c r="G60" s="48">
        <f>[1]!s_stmnote_bank(A60,"43",$A$46,100000000)</f>
        <v>93</v>
      </c>
      <c r="H60" s="48">
        <f>[1]!s_stmnote_bank_1n(A60,$A$46,1,100000000)</f>
        <v>15942.81</v>
      </c>
      <c r="I60" s="49">
        <f t="shared" si="36"/>
        <v>0.94101039904508688</v>
      </c>
      <c r="J60" s="49">
        <f t="shared" si="37"/>
        <v>4.1403617053706342E-2</v>
      </c>
      <c r="K60" s="49">
        <f t="shared" si="38"/>
        <v>8.6308498940901885E-3</v>
      </c>
      <c r="L60" s="49">
        <f t="shared" si="39"/>
        <v>3.1217834246284066E-3</v>
      </c>
      <c r="M60" s="49">
        <f t="shared" si="40"/>
        <v>5.8333505824882817E-3</v>
      </c>
      <c r="N60" s="40">
        <f t="shared" si="41"/>
        <v>1.0000000000000002</v>
      </c>
      <c r="O60" s="42"/>
      <c r="P60" s="50">
        <v>23.55</v>
      </c>
      <c r="Q60" s="83">
        <f>[1]!s_stm07_is(A60,"W99893153",$A$46,1,100000000)</f>
        <v>125.54</v>
      </c>
    </row>
    <row r="61" spans="1:17" ht="14.25" x14ac:dyDescent="0.4">
      <c r="A61" s="38" t="str">
        <f>[1]!to_tradecode(B61)</f>
        <v>601169</v>
      </c>
      <c r="B61" s="38" t="s">
        <v>153</v>
      </c>
      <c r="C61" s="48">
        <f>[1]!s_stmnote_bank(A61,"31",$A$46,100000000)</f>
        <v>9805.0815999999995</v>
      </c>
      <c r="D61" s="48">
        <f>[1]!s_stmnote_bank(A61,"34",$A$46,100000000)</f>
        <v>117.7701</v>
      </c>
      <c r="E61" s="48">
        <f>[1]!s_stmnote_bank(A61,"37",$A$46,100000000)</f>
        <v>93.376300000000001</v>
      </c>
      <c r="F61" s="48">
        <f>[1]!s_stmnote_bank(A61,"40",$A$46,100000000)</f>
        <v>5.6585999999999999</v>
      </c>
      <c r="G61" s="48">
        <f>[1]!s_stmnote_bank(A61,"43",$A$46,100000000)</f>
        <v>19.6464</v>
      </c>
      <c r="H61" s="48">
        <v>10041.532999999999</v>
      </c>
      <c r="I61" s="49">
        <f t="shared" si="36"/>
        <v>0.97645265917066648</v>
      </c>
      <c r="J61" s="49">
        <f t="shared" si="37"/>
        <v>1.172829885635988E-2</v>
      </c>
      <c r="K61" s="49">
        <f t="shared" si="38"/>
        <v>9.2990084282947635E-3</v>
      </c>
      <c r="L61" s="49">
        <f t="shared" si="39"/>
        <v>5.6351953431811662E-4</v>
      </c>
      <c r="M61" s="49">
        <f t="shared" si="40"/>
        <v>1.9565140103607686E-3</v>
      </c>
      <c r="N61" s="40">
        <f t="shared" si="41"/>
        <v>1</v>
      </c>
      <c r="O61" s="42"/>
      <c r="P61" s="38">
        <v>97.36</v>
      </c>
      <c r="Q61" s="83">
        <f>[1]!s_stm07_is(A61,"W99893153",$A$46,1,100000000)</f>
        <v>111.55</v>
      </c>
    </row>
    <row r="62" spans="1:17" ht="14.25" x14ac:dyDescent="0.4">
      <c r="A62" s="38" t="str">
        <f>[1]!to_tradecode(B62)</f>
        <v>601009</v>
      </c>
      <c r="B62" s="38" t="s">
        <v>154</v>
      </c>
      <c r="C62" s="48">
        <f>[1]!s_stmnote_bank(A62,"31",$A$46,100000000)</f>
        <v>3586.1287200000002</v>
      </c>
      <c r="D62" s="48">
        <f>[1]!s_stmnote_bank(A62,"34",$A$46,100000000)</f>
        <v>67.222840000000005</v>
      </c>
      <c r="E62" s="48">
        <f>[1]!s_stmnote_bank(A62,"37",$A$46,100000000)</f>
        <v>21.713480000000001</v>
      </c>
      <c r="F62" s="48">
        <f>[1]!s_stmnote_bank(A62,"40",$A$46,100000000)</f>
        <v>7.54765</v>
      </c>
      <c r="G62" s="48">
        <f>[1]!s_stmnote_bank(A62,"43",$A$46,100000000)</f>
        <v>2.6046</v>
      </c>
      <c r="H62" s="48">
        <f>[1]!s_stmnote_bank_1n(A62,$A$46,1,100000000)</f>
        <v>3685.21729</v>
      </c>
      <c r="I62" s="49">
        <f t="shared" si="36"/>
        <v>0.97311187856713877</v>
      </c>
      <c r="J62" s="49">
        <f t="shared" si="37"/>
        <v>1.8241214753445381E-2</v>
      </c>
      <c r="K62" s="49">
        <f t="shared" si="38"/>
        <v>5.8920487698026621E-3</v>
      </c>
      <c r="L62" s="49">
        <f t="shared" si="39"/>
        <v>2.0480881874946374E-3</v>
      </c>
      <c r="M62" s="49">
        <f t="shared" si="40"/>
        <v>7.0676972211861078E-4</v>
      </c>
      <c r="N62" s="40">
        <f t="shared" si="41"/>
        <v>1.0000000000000002</v>
      </c>
      <c r="O62" s="42">
        <v>174.10274999999999</v>
      </c>
      <c r="P62" s="50">
        <v>24.131910000000001</v>
      </c>
      <c r="Q62" s="83">
        <f>[1]!s_stm07_is(A62,"W99893153",$A$46,1,100000000)</f>
        <v>51.603630000000003</v>
      </c>
    </row>
    <row r="63" spans="1:17" ht="14.25" x14ac:dyDescent="0.4">
      <c r="A63" s="38" t="str">
        <f>[1]!to_tradecode(B63)</f>
        <v>002142</v>
      </c>
      <c r="B63" s="38" t="s">
        <v>155</v>
      </c>
      <c r="C63" s="48">
        <f>[1]!s_stmnote_bank(A63,"31",$A$46,100000000)</f>
        <v>3202.2810100000002</v>
      </c>
      <c r="D63" s="48">
        <f>[1]!s_stmnote_bank(A63,"34",$A$46,100000000)</f>
        <v>25.14714</v>
      </c>
      <c r="E63" s="48">
        <f>[1]!s_stmnote_bank(A63,"37",$A$46,100000000)</f>
        <v>17.690429999999999</v>
      </c>
      <c r="F63" s="48">
        <f>[1]!s_stmnote_bank(A63,"40",$A$46,100000000)</f>
        <v>9.8030799999999996</v>
      </c>
      <c r="G63" s="48">
        <f>[1]!s_stmnote_bank(A63,"43",$A$46,100000000)</f>
        <v>2.0604200000000001</v>
      </c>
      <c r="H63" s="48">
        <f>[1]!s_stmnote_bank_1n(A63,$A$46,1,100000000)</f>
        <v>3256.9820800000002</v>
      </c>
      <c r="I63" s="49">
        <f t="shared" si="36"/>
        <v>0.98320498281648516</v>
      </c>
      <c r="J63" s="49">
        <f t="shared" si="37"/>
        <v>7.7209942770087329E-3</v>
      </c>
      <c r="K63" s="49">
        <f t="shared" si="38"/>
        <v>5.4315404768822059E-3</v>
      </c>
      <c r="L63" s="49">
        <f t="shared" si="39"/>
        <v>3.0098661150754625E-3</v>
      </c>
      <c r="M63" s="49">
        <f t="shared" si="40"/>
        <v>6.3261631454846693E-4</v>
      </c>
      <c r="N63" s="40">
        <f t="shared" si="41"/>
        <v>1</v>
      </c>
      <c r="O63" s="42"/>
      <c r="P63" s="50">
        <v>2.4</v>
      </c>
      <c r="Q63" s="83">
        <f>[1]!s_stm07_is(A63,"W99893153",$A$46,1,100000000)</f>
        <v>47.743119999999998</v>
      </c>
    </row>
    <row r="64" spans="1:17" ht="14.25" x14ac:dyDescent="0.4">
      <c r="A64" s="38" t="str">
        <f>[1]!to_tradecode(B64)</f>
        <v>601229</v>
      </c>
      <c r="B64" s="38" t="s">
        <v>156</v>
      </c>
      <c r="C64" s="48">
        <f>[1]!s_stmnote_bank(A64,"31",$A$46,100000000)</f>
        <v>5811.7031699999998</v>
      </c>
      <c r="D64" s="48">
        <f>[1]!s_stmnote_bank(A64,"34",$A$46,100000000)</f>
        <v>127.54994000000001</v>
      </c>
      <c r="E64" s="48">
        <f>[1]!s_stmnote_bank(A64,"37",$A$46,100000000)</f>
        <v>22.93852</v>
      </c>
      <c r="F64" s="48">
        <f>[1]!s_stmnote_bank(A64,"40",$A$46,100000000)</f>
        <v>35.032730000000001</v>
      </c>
      <c r="G64" s="48">
        <f>[1]!s_stmnote_bank(A64,"43",$A$46,100000000)</f>
        <v>11.854799999999999</v>
      </c>
      <c r="H64" s="48">
        <f>[1]!s_stmnote_bank_1n(A64,$A$46,1,100000000)</f>
        <v>6009.0791600000002</v>
      </c>
      <c r="I64" s="49">
        <f t="shared" si="36"/>
        <v>0.96715370446209925</v>
      </c>
      <c r="J64" s="49">
        <f t="shared" si="37"/>
        <v>2.1226203982974323E-2</v>
      </c>
      <c r="K64" s="49">
        <f t="shared" si="38"/>
        <v>3.8173103381117716E-3</v>
      </c>
      <c r="L64" s="49">
        <f t="shared" si="39"/>
        <v>5.8299664669419996E-3</v>
      </c>
      <c r="M64" s="49">
        <f t="shared" si="40"/>
        <v>1.9728147498725909E-3</v>
      </c>
      <c r="N64" s="40">
        <f t="shared" si="41"/>
        <v>0.99999999999999989</v>
      </c>
      <c r="O64" s="42">
        <v>255.45525000000001</v>
      </c>
      <c r="P64" s="50">
        <v>67.708160000000007</v>
      </c>
      <c r="Q64" s="83">
        <f>[1]!s_stm07_is(A64,"W99893153",$A$46,1,100000000)</f>
        <v>78.062079999999995</v>
      </c>
    </row>
    <row r="65" spans="1:20" ht="14.25" x14ac:dyDescent="0.4">
      <c r="A65" s="38" t="str">
        <f>[1]!to_tradecode(B65)</f>
        <v>601997</v>
      </c>
      <c r="B65" s="38" t="s">
        <v>157</v>
      </c>
      <c r="C65" s="48">
        <f>[1]!s_stmnote_bank(A65,"31",$A$46,100000000)</f>
        <v>1040.7348500000001</v>
      </c>
      <c r="D65" s="48">
        <f>[1]!s_stmnote_bank(A65,"34",$A$46,100000000)</f>
        <v>39.996290000000002</v>
      </c>
      <c r="E65" s="48">
        <f>[1]!s_stmnote_bank(A65,"37",$A$46,100000000)</f>
        <v>7.5041200000000003</v>
      </c>
      <c r="F65" s="48">
        <f>[1]!s_stmnote_bank(A65,"40",$A$46,100000000)</f>
        <v>4.91737</v>
      </c>
      <c r="G65" s="48">
        <f>[1]!s_stmnote_bank(A65,"43",$A$46,100000000)</f>
        <v>3.5967500000000001</v>
      </c>
      <c r="H65" s="48">
        <f>[1]!s_stmnote_bank_1n(A65,$A$46,1,100000000)</f>
        <v>1096.74937</v>
      </c>
      <c r="I65" s="49">
        <f t="shared" si="36"/>
        <v>0.94892678169489175</v>
      </c>
      <c r="J65" s="49">
        <f t="shared" si="37"/>
        <v>3.6468030977761128E-2</v>
      </c>
      <c r="K65" s="49">
        <f t="shared" si="38"/>
        <v>6.8421466246203549E-3</v>
      </c>
      <c r="L65" s="49">
        <f t="shared" si="39"/>
        <v>4.4835858898191116E-3</v>
      </c>
      <c r="M65" s="49">
        <f t="shared" si="40"/>
        <v>3.2794639307611364E-3</v>
      </c>
      <c r="N65" s="40">
        <f t="shared" si="41"/>
        <v>1.0000000091178534</v>
      </c>
      <c r="O65" s="42"/>
      <c r="P65" s="50">
        <v>14.410450000000001</v>
      </c>
      <c r="Q65" s="83">
        <f>[1]!s_stm07_is(A65,"W99893153",$A$46,1,100000000)</f>
        <v>19.07517</v>
      </c>
      <c r="R65" s="50"/>
      <c r="S65" s="50"/>
      <c r="T65" s="50"/>
    </row>
    <row r="66" spans="1:20" ht="14.25" x14ac:dyDescent="0.4">
      <c r="A66" s="38" t="str">
        <f>[1]!to_tradecode(B66)</f>
        <v>600926</v>
      </c>
      <c r="B66" s="38" t="s">
        <v>158</v>
      </c>
      <c r="C66" s="48">
        <f>[1]!s_stmnote_bank(A66,"31",$A$46,100000000)</f>
        <v>2588.3849100000002</v>
      </c>
      <c r="D66" s="48">
        <f>[1]!s_stmnote_bank(A66,"34",$A$46,100000000)</f>
        <v>98.72</v>
      </c>
      <c r="E66" s="48">
        <f>[1]!s_stmnote_bank(A66,"37",$A$46,100000000)</f>
        <v>20.028590000000001</v>
      </c>
      <c r="F66" s="48">
        <f>[1]!s_stmnote_bank(A66,"40",$A$46,100000000)</f>
        <v>3.8999899999999998</v>
      </c>
      <c r="G66" s="48">
        <f>[1]!s_stmnote_bank(A66,"43",$A$46,100000000)</f>
        <v>20.081520000000001</v>
      </c>
      <c r="H66" s="48">
        <f>[1]!s_stmnote_bank_1n(A66,$A$46,1,100000000)</f>
        <v>2731.11501</v>
      </c>
      <c r="I66" s="49">
        <f t="shared" si="36"/>
        <v>0.94773925686857119</v>
      </c>
      <c r="J66" s="49">
        <f t="shared" si="37"/>
        <v>3.6146408935008562E-2</v>
      </c>
      <c r="K66" s="49">
        <f t="shared" si="38"/>
        <v>7.333484648821143E-3</v>
      </c>
      <c r="L66" s="49">
        <f t="shared" si="39"/>
        <v>1.4279845358837525E-3</v>
      </c>
      <c r="M66" s="49">
        <f t="shared" si="40"/>
        <v>7.3528650117154907E-3</v>
      </c>
      <c r="N66" s="40">
        <f t="shared" si="41"/>
        <v>1</v>
      </c>
      <c r="O66" s="42">
        <v>84.171869999999998</v>
      </c>
      <c r="P66" s="50">
        <v>2.35</v>
      </c>
      <c r="Q66" s="83">
        <f>[1]!s_stm07_is(A66,"W99893153",$A$46,1,100000000)</f>
        <v>25.31119</v>
      </c>
      <c r="R66" s="50"/>
      <c r="S66" s="50"/>
      <c r="T66" s="50"/>
    </row>
    <row r="67" spans="1:20" ht="14.25" x14ac:dyDescent="0.4">
      <c r="A67" s="38" t="str">
        <f>[1]!to_tradecode(B67)</f>
        <v>600919</v>
      </c>
      <c r="B67" s="38" t="s">
        <v>159</v>
      </c>
      <c r="C67" s="48">
        <f>[1]!s_stmnote_bank(A67,"31",$A$46,100000000)</f>
        <v>6702.3899099999999</v>
      </c>
      <c r="D67" s="48">
        <f>[1]!s_stmnote_bank(A67,"34",$A$46,100000000)</f>
        <v>207.65314000000001</v>
      </c>
      <c r="E67" s="48">
        <f>[1]!s_stmnote_bank(A67,"37",$A$46,100000000)</f>
        <v>52.106589999999997</v>
      </c>
      <c r="F67" s="48">
        <f>[1]!s_stmnote_bank(A67,"40",$A$46,100000000)</f>
        <v>34.686799999999998</v>
      </c>
      <c r="G67" s="48">
        <f>[1]!s_stmnote_bank(A67,"43",$A$46,100000000)</f>
        <v>13.780010000000001</v>
      </c>
      <c r="H67" s="48">
        <f>[1]!s_stmnote_bank_1n(A67,$A$46,1,100000000)</f>
        <v>7010.6164500000004</v>
      </c>
      <c r="I67" s="49">
        <f t="shared" si="36"/>
        <v>0.95603431706779496</v>
      </c>
      <c r="J67" s="49">
        <f t="shared" si="37"/>
        <v>2.9619811821255747E-2</v>
      </c>
      <c r="K67" s="49">
        <f t="shared" si="38"/>
        <v>7.4325261368420742E-3</v>
      </c>
      <c r="L67" s="49">
        <f t="shared" si="39"/>
        <v>4.9477532036430261E-3</v>
      </c>
      <c r="M67" s="49">
        <f t="shared" si="40"/>
        <v>1.9655917704640654E-3</v>
      </c>
      <c r="N67" s="40">
        <f t="shared" si="41"/>
        <v>0.99999999999999989</v>
      </c>
      <c r="O67" s="42">
        <v>215.42554000000001</v>
      </c>
      <c r="P67" s="50">
        <v>24.378209999999999</v>
      </c>
      <c r="Q67" s="83">
        <f>[1]!s_stm07_is(A67,"W99893153",$A$46,1,100000000)</f>
        <v>62.21358</v>
      </c>
    </row>
    <row r="68" spans="1:20" ht="14.25" x14ac:dyDescent="0.4">
      <c r="A68" s="38" t="str">
        <f>[1]!to_tradecode(B68)</f>
        <v>600908</v>
      </c>
      <c r="B68" s="38" t="s">
        <v>160</v>
      </c>
      <c r="C68" s="48">
        <f>[1]!s_stmnote_bank(A68,"31",$A$46,100000000)</f>
        <v>618.77553999999998</v>
      </c>
      <c r="D68" s="48">
        <f>[1]!s_stmnote_bank(A68,"34",$A$46,100000000)</f>
        <v>9.5557599999999994</v>
      </c>
      <c r="E68" s="48">
        <f>[1]!s_stmnote_bank(A68,"37",$A$46,100000000)</f>
        <v>6.9572700000000003</v>
      </c>
      <c r="F68" s="48">
        <f>[1]!s_stmnote_bank(A68,"40",$A$46,100000000)</f>
        <v>1.30874</v>
      </c>
      <c r="G68" s="48">
        <f>[1]!s_stmnote_bank(A68,"43",$A$46,100000000)</f>
        <v>0.10197000000000001</v>
      </c>
      <c r="H68" s="48">
        <f>[1]!s_stmnote_bank_1n(A68,$A$46,1,100000000)</f>
        <v>636.69928000000004</v>
      </c>
      <c r="I68" s="49">
        <f t="shared" si="36"/>
        <v>0.971848970835965</v>
      </c>
      <c r="J68" s="49">
        <f t="shared" si="37"/>
        <v>1.5008278319397501E-2</v>
      </c>
      <c r="K68" s="49">
        <f t="shared" si="38"/>
        <v>1.092708947307118E-2</v>
      </c>
      <c r="L68" s="49">
        <f t="shared" si="39"/>
        <v>2.0555072718159819E-3</v>
      </c>
      <c r="M68" s="49">
        <f t="shared" si="40"/>
        <v>1.6015409975019917E-4</v>
      </c>
      <c r="N68" s="40">
        <f t="shared" si="41"/>
        <v>1</v>
      </c>
      <c r="O68" s="42">
        <v>19.095199999999998</v>
      </c>
      <c r="P68" s="50">
        <v>1.20529</v>
      </c>
      <c r="Q68" s="83">
        <f>[1]!s_stm07_is(A68,"W99893153",$A$46,1,100000000)</f>
        <v>5.2125899999999996</v>
      </c>
    </row>
    <row r="69" spans="1:20" ht="14.25" x14ac:dyDescent="0.4">
      <c r="A69" s="38" t="str">
        <f>[1]!to_tradecode(B69)</f>
        <v>601128</v>
      </c>
      <c r="B69" s="38" t="s">
        <v>161</v>
      </c>
      <c r="C69" s="48">
        <f>[1]!s_stmnote_bank(A69,"31",$A$46,100000000)</f>
        <v>685.68228999999997</v>
      </c>
      <c r="D69" s="48">
        <f>[1]!s_stmnote_bank(A69,"34",$A$46,100000000)</f>
        <v>22.512519999999999</v>
      </c>
      <c r="E69" s="48">
        <f>[1]!s_stmnote_bank(A69,"37",$A$46,100000000)</f>
        <v>9.02318</v>
      </c>
      <c r="F69" s="48">
        <f>[1]!s_stmnote_bank(A69,"40",$A$46,100000000)</f>
        <v>0.19458</v>
      </c>
      <c r="G69" s="48">
        <f>[1]!s_stmnote_bank(A69,"43",$A$46,100000000)</f>
        <v>5.4859999999999999E-2</v>
      </c>
      <c r="H69" s="48">
        <f>[1]!s_stmnote_bank_1n(A69,$A$46,1,100000000)</f>
        <v>717.46743000000004</v>
      </c>
      <c r="I69" s="49">
        <f t="shared" si="36"/>
        <v>0.95569814228361549</v>
      </c>
      <c r="J69" s="49">
        <f t="shared" si="37"/>
        <v>3.1377758848230922E-2</v>
      </c>
      <c r="K69" s="49">
        <f t="shared" si="38"/>
        <v>1.2576431518292056E-2</v>
      </c>
      <c r="L69" s="49">
        <f t="shared" si="39"/>
        <v>2.7120394858899725E-4</v>
      </c>
      <c r="M69" s="49">
        <f t="shared" si="40"/>
        <v>7.6463401272445206E-5</v>
      </c>
      <c r="N69" s="40">
        <f t="shared" si="41"/>
        <v>0.99999999999999989</v>
      </c>
      <c r="O69" s="42">
        <v>29.067599999999999</v>
      </c>
      <c r="P69" s="38">
        <v>2.4623499999999998</v>
      </c>
      <c r="Q69" s="83">
        <f>[1]!s_stm07_is(A69,"W99893153",$A$46,1,100000000)</f>
        <v>6.0468400000000004</v>
      </c>
    </row>
    <row r="70" spans="1:20" ht="14.25" x14ac:dyDescent="0.4">
      <c r="A70" s="38" t="str">
        <f>[1]!to_tradecode(B70)</f>
        <v>002807</v>
      </c>
      <c r="B70" s="38" t="s">
        <v>162</v>
      </c>
      <c r="C70" s="48">
        <f>[1]!s_stmnote_bank(A70,"31",$A$46,100000000)</f>
        <v>517.12267999999995</v>
      </c>
      <c r="D70" s="48">
        <f>[1]!s_stmnote_bank(A70,"34",$A$46,100000000)</f>
        <v>10.763260000000001</v>
      </c>
      <c r="E70" s="48">
        <f>[1]!s_stmnote_bank(A70,"37",$A$46,100000000)</f>
        <v>5.0457700000000001</v>
      </c>
      <c r="F70" s="48">
        <f>[1]!s_stmnote_bank(A70,"40",$A$46,100000000)</f>
        <v>6.7613799999999999</v>
      </c>
      <c r="G70" s="48">
        <f>[1]!s_stmnote_bank(A70,"43",$A$46,100000000)</f>
        <v>1.4669700000000001</v>
      </c>
      <c r="H70" s="48">
        <f>[1]!s_stmnote_bank_1n(A70,$A$46,1,100000000)</f>
        <v>541.16006000000004</v>
      </c>
      <c r="I70" s="49">
        <f t="shared" si="36"/>
        <v>0.95558175523892119</v>
      </c>
      <c r="J70" s="49">
        <f t="shared" si="37"/>
        <v>1.9889235728150375E-2</v>
      </c>
      <c r="K70" s="49">
        <f t="shared" si="38"/>
        <v>9.323988174589232E-3</v>
      </c>
      <c r="L70" s="49">
        <f t="shared" si="39"/>
        <v>1.2494233221867851E-2</v>
      </c>
      <c r="M70" s="49">
        <f t="shared" si="40"/>
        <v>2.7107876364711762E-3</v>
      </c>
      <c r="N70" s="40">
        <f t="shared" si="41"/>
        <v>0.99999999999999978</v>
      </c>
      <c r="O70" s="42">
        <v>23.67202</v>
      </c>
      <c r="Q70" s="83">
        <f>[1]!s_stm07_is(A70,"W99893153",$A$46,1,100000000)</f>
        <v>3.4059300000000001</v>
      </c>
    </row>
    <row r="71" spans="1:20" ht="14.25" x14ac:dyDescent="0.4">
      <c r="A71" s="38" t="str">
        <f>[1]!to_tradecode(B71)</f>
        <v>603323</v>
      </c>
      <c r="B71" s="38" t="s">
        <v>163</v>
      </c>
      <c r="C71" s="48">
        <f>[1]!s_stmnote_bank(A71,"31",$A$46,100000000)</f>
        <v>409.86730999999997</v>
      </c>
      <c r="D71" s="48">
        <f>[1]!s_stmnote_bank(A71,"34",$A$46,100000000)</f>
        <v>57.653190000000002</v>
      </c>
      <c r="E71" s="48">
        <f>[1]!s_stmnote_bank(A71,"37",$A$46,100000000)</f>
        <v>6.22966</v>
      </c>
      <c r="F71" s="48">
        <f>[1]!s_stmnote_bank(A71,"40",$A$46,100000000)</f>
        <v>1.1354299999999999</v>
      </c>
      <c r="G71" s="48">
        <f>[1]!s_stmnote_bank(A71,"43",$A$46,100000000)</f>
        <v>0.77741000000000005</v>
      </c>
      <c r="H71" s="48">
        <f>[1]!s_stmnote_bank_1n(A71,$A$46,1,100000000)</f>
        <v>475.66300000000001</v>
      </c>
      <c r="I71" s="49">
        <f t="shared" si="36"/>
        <v>0.8616758293161334</v>
      </c>
      <c r="J71" s="49">
        <f t="shared" si="37"/>
        <v>0.12120595884060774</v>
      </c>
      <c r="K71" s="49">
        <f t="shared" si="38"/>
        <v>1.3096793317958303E-2</v>
      </c>
      <c r="L71" s="49">
        <f t="shared" si="39"/>
        <v>2.387047132108236E-3</v>
      </c>
      <c r="M71" s="49">
        <f t="shared" si="40"/>
        <v>1.6343713931922391E-3</v>
      </c>
      <c r="N71" s="40">
        <f t="shared" si="41"/>
        <v>0.99999999999999989</v>
      </c>
      <c r="O71" s="42">
        <v>1.5683990000000001</v>
      </c>
      <c r="Q71" s="83">
        <f>[1]!s_stm07_is(A71,"W99893153",$A$46,1,100000000)</f>
        <v>4.4069799999999999</v>
      </c>
    </row>
    <row r="72" spans="1:20" ht="14.25" x14ac:dyDescent="0.4">
      <c r="A72" s="38" t="str">
        <f>[1]!to_tradecode(B72)</f>
        <v>002839</v>
      </c>
      <c r="B72" s="38" t="s">
        <v>164</v>
      </c>
      <c r="C72" s="48">
        <f>[1]!s_stmnote_bank(A72,"31",$A$46,100000000)</f>
        <v>432.94372017239999</v>
      </c>
      <c r="D72" s="48">
        <f>[1]!s_stmnote_bank(A72,"34",$A$46,100000000)</f>
        <v>32.681458633200002</v>
      </c>
      <c r="E72" s="48">
        <f>[1]!s_stmnote_bank(A72,"37",$A$46,100000000)</f>
        <v>6.9045525099000002</v>
      </c>
      <c r="F72" s="48">
        <f>[1]!s_stmnote_bank(A72,"40",$A$46,100000000)</f>
        <v>2.1178688054000001</v>
      </c>
      <c r="G72" s="48">
        <f>[1]!s_stmnote_bank(A72,"43",$A$46,100000000)</f>
        <v>0.33062362750000002</v>
      </c>
      <c r="H72" s="48">
        <f>[1]!s_stmnote_bank_1n(A72,$A$46,1,100000000)</f>
        <v>474.97822374839996</v>
      </c>
      <c r="I72" s="49">
        <f t="shared" si="36"/>
        <v>0.91150225110474536</v>
      </c>
      <c r="J72" s="49">
        <f t="shared" si="37"/>
        <v>6.8806225210256478E-2</v>
      </c>
      <c r="K72" s="49">
        <f t="shared" si="38"/>
        <v>1.4536566445954375E-2</v>
      </c>
      <c r="L72" s="49">
        <f t="shared" si="39"/>
        <v>4.4588755852559957E-3</v>
      </c>
      <c r="M72" s="49">
        <f t="shared" si="40"/>
        <v>6.9608165378784643E-4</v>
      </c>
      <c r="N72" s="40">
        <f t="shared" si="41"/>
        <v>1</v>
      </c>
      <c r="O72" s="42"/>
      <c r="P72" s="50">
        <v>0.94874999999999998</v>
      </c>
      <c r="Q72" s="83">
        <f>[1]!s_stm07_is(A72,"W99893153",$A$46,1,100000000)</f>
        <v>3.5233203100999999</v>
      </c>
    </row>
  </sheetData>
  <mergeCells count="8">
    <mergeCell ref="A36:A40"/>
    <mergeCell ref="E14:I14"/>
    <mergeCell ref="A10:L13"/>
    <mergeCell ref="J14:N14"/>
    <mergeCell ref="A1:B2"/>
    <mergeCell ref="A16:A20"/>
    <mergeCell ref="A21:A28"/>
    <mergeCell ref="A29:A35"/>
  </mergeCells>
  <phoneticPr fontId="2"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数据底稿</vt:lpstr>
      <vt:lpstr>非标类信贷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2017-09-23T01:55:02Z</dcterms:modified>
</cp:coreProperties>
</file>