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D0C2B609-60FB-4940-A22D-5AF97236686E}" xr6:coauthVersionLast="47" xr6:coauthVersionMax="47" xr10:uidLastSave="{00000000-0000-0000-0000-000000000000}"/>
  <bookViews>
    <workbookView xWindow="-110" yWindow="-110" windowWidth="19420" windowHeight="10420" activeTab="12" xr2:uid="{C351669E-2002-4681-B31E-917987A82BE1}"/>
  </bookViews>
  <sheets>
    <sheet name="Payroll" sheetId="4" r:id="rId1"/>
    <sheet name="GradeBook" sheetId="2" r:id="rId2"/>
    <sheet name="Decision Maker" sheetId="5" r:id="rId3"/>
    <sheet name="Sales Database" sheetId="3" r:id="rId4"/>
    <sheet name="Pivot Table &amp; Chart" sheetId="6" r:id="rId5"/>
    <sheet name="Car Inventory Pivot" sheetId="7" r:id="rId6"/>
    <sheet name="Car Inventory" sheetId="1" r:id="rId7"/>
    <sheet name="Problem 1" sheetId="8" r:id="rId8"/>
    <sheet name="Problem 2" sheetId="9" r:id="rId9"/>
    <sheet name="Problem 3" sheetId="10" r:id="rId10"/>
    <sheet name="Problem 4" sheetId="11" r:id="rId11"/>
    <sheet name="Problem 5" sheetId="12" r:id="rId12"/>
    <sheet name="Problem 6" sheetId="13" r:id="rId13"/>
    <sheet name="Problem 7" sheetId="14" r:id="rId14"/>
  </sheets>
  <definedNames>
    <definedName name="_xlnm._FilterDatabase" localSheetId="3" hidden="1">'Sales Database'!$A$1:$K$172</definedName>
  </definedNames>
  <calcPr calcId="191029"/>
  <pivotCaches>
    <pivotCache cacheId="5" r:id="rId15"/>
    <pivotCache cacheId="9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3" l="1"/>
  <c r="M8" i="13"/>
  <c r="M6" i="13"/>
  <c r="K7" i="13"/>
  <c r="K8" i="13"/>
  <c r="K6" i="13"/>
  <c r="H14" i="11"/>
  <c r="H13" i="11"/>
  <c r="H12" i="11"/>
  <c r="D12" i="11"/>
  <c r="J12" i="11"/>
  <c r="F12" i="11"/>
  <c r="B14" i="11"/>
  <c r="B13" i="11"/>
  <c r="B22" i="11" s="1"/>
  <c r="J13" i="11"/>
  <c r="F13" i="11"/>
  <c r="M7" i="14"/>
  <c r="M8" i="14"/>
  <c r="M6" i="14"/>
  <c r="L7" i="14"/>
  <c r="L8" i="14"/>
  <c r="L6" i="14"/>
  <c r="K7" i="14"/>
  <c r="K8" i="14"/>
  <c r="K6" i="14"/>
  <c r="I7" i="14"/>
  <c r="N7" i="14" s="1"/>
  <c r="O7" i="14" s="1"/>
  <c r="I8" i="14"/>
  <c r="I6" i="14"/>
  <c r="J8" i="13"/>
  <c r="J7" i="13"/>
  <c r="J6" i="13"/>
  <c r="J7" i="12"/>
  <c r="J8" i="12"/>
  <c r="J6" i="12"/>
  <c r="I7" i="12"/>
  <c r="I8" i="12"/>
  <c r="I6" i="12"/>
  <c r="F6" i="12"/>
  <c r="G6" i="12" s="1"/>
  <c r="G7" i="12"/>
  <c r="G8" i="12"/>
  <c r="F7" i="12"/>
  <c r="F8" i="12"/>
  <c r="H7" i="12"/>
  <c r="H8" i="12"/>
  <c r="H6" i="12"/>
  <c r="E7" i="12"/>
  <c r="E8" i="12"/>
  <c r="E6" i="12"/>
  <c r="J9" i="11"/>
  <c r="J10" i="11"/>
  <c r="B19" i="11" s="1"/>
  <c r="J8" i="11"/>
  <c r="F9" i="11"/>
  <c r="F10" i="11"/>
  <c r="F8" i="11"/>
  <c r="B13" i="10"/>
  <c r="B12" i="10"/>
  <c r="D10" i="10"/>
  <c r="E10" i="10"/>
  <c r="E9" i="10"/>
  <c r="D8" i="10"/>
  <c r="E7" i="10"/>
  <c r="D7" i="10"/>
  <c r="L17" i="9"/>
  <c r="M17" i="9"/>
  <c r="N17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2" i="9"/>
  <c r="I17" i="9"/>
  <c r="H17" i="9"/>
  <c r="G17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8"/>
  <c r="F3" i="8"/>
  <c r="G3" i="8" s="1"/>
  <c r="E4" i="8"/>
  <c r="F4" i="8"/>
  <c r="G4" i="8"/>
  <c r="E5" i="8"/>
  <c r="F5" i="8"/>
  <c r="G5" i="8" s="1"/>
  <c r="G2" i="8"/>
  <c r="F2" i="8"/>
  <c r="E2" i="8"/>
  <c r="N35" i="1"/>
  <c r="N27" i="1"/>
  <c r="N21" i="1"/>
  <c r="N32" i="1"/>
  <c r="N34" i="1"/>
  <c r="N24" i="1"/>
  <c r="N20" i="1"/>
  <c r="N33" i="1"/>
  <c r="N25" i="1"/>
  <c r="N26" i="1"/>
  <c r="N49" i="1"/>
  <c r="N39" i="1"/>
  <c r="N52" i="1"/>
  <c r="N42" i="1"/>
  <c r="N47" i="1"/>
  <c r="N50" i="1"/>
  <c r="N37" i="1"/>
  <c r="N12" i="1"/>
  <c r="N7" i="1"/>
  <c r="N2" i="1"/>
  <c r="N4" i="1"/>
  <c r="N5" i="1"/>
  <c r="N15" i="1"/>
  <c r="N11" i="1"/>
  <c r="N19" i="1"/>
  <c r="N6" i="1"/>
  <c r="N46" i="1"/>
  <c r="N29" i="1"/>
  <c r="N44" i="1"/>
  <c r="N8" i="1"/>
  <c r="N16" i="1"/>
  <c r="N48" i="1"/>
  <c r="N30" i="1"/>
  <c r="N31" i="1"/>
  <c r="N40" i="1"/>
  <c r="N51" i="1"/>
  <c r="N13" i="1"/>
  <c r="N17" i="1"/>
  <c r="N22" i="1"/>
  <c r="N18" i="1"/>
  <c r="N53" i="1"/>
  <c r="N9" i="1"/>
  <c r="N28" i="1"/>
  <c r="N38" i="1"/>
  <c r="N14" i="1"/>
  <c r="N10" i="1"/>
  <c r="N3" i="1"/>
  <c r="N23" i="1"/>
  <c r="N36" i="1"/>
  <c r="N43" i="1"/>
  <c r="N45" i="1"/>
  <c r="N41" i="1"/>
  <c r="M27" i="1"/>
  <c r="M21" i="1"/>
  <c r="M32" i="1"/>
  <c r="M34" i="1"/>
  <c r="M24" i="1"/>
  <c r="M20" i="1"/>
  <c r="M33" i="1"/>
  <c r="M25" i="1"/>
  <c r="M26" i="1"/>
  <c r="M49" i="1"/>
  <c r="M39" i="1"/>
  <c r="M52" i="1"/>
  <c r="M42" i="1"/>
  <c r="M47" i="1"/>
  <c r="M50" i="1"/>
  <c r="M37" i="1"/>
  <c r="M12" i="1"/>
  <c r="M7" i="1"/>
  <c r="M2" i="1"/>
  <c r="M4" i="1"/>
  <c r="M5" i="1"/>
  <c r="M15" i="1"/>
  <c r="M11" i="1"/>
  <c r="M19" i="1"/>
  <c r="M6" i="1"/>
  <c r="M46" i="1"/>
  <c r="M29" i="1"/>
  <c r="M44" i="1"/>
  <c r="M8" i="1"/>
  <c r="M16" i="1"/>
  <c r="M48" i="1"/>
  <c r="M30" i="1"/>
  <c r="M31" i="1"/>
  <c r="M40" i="1"/>
  <c r="M51" i="1"/>
  <c r="M13" i="1"/>
  <c r="M17" i="1"/>
  <c r="M22" i="1"/>
  <c r="M18" i="1"/>
  <c r="M53" i="1"/>
  <c r="M9" i="1"/>
  <c r="M28" i="1"/>
  <c r="M38" i="1"/>
  <c r="M14" i="1"/>
  <c r="M10" i="1"/>
  <c r="M3" i="1"/>
  <c r="M23" i="1"/>
  <c r="M36" i="1"/>
  <c r="M43" i="1"/>
  <c r="M45" i="1"/>
  <c r="M41" i="1"/>
  <c r="M35" i="1"/>
  <c r="I27" i="1"/>
  <c r="G33" i="1"/>
  <c r="I33" i="1" s="1"/>
  <c r="G49" i="1"/>
  <c r="I49" i="1" s="1"/>
  <c r="G37" i="1"/>
  <c r="I37" i="1" s="1"/>
  <c r="G7" i="1"/>
  <c r="I7" i="1" s="1"/>
  <c r="G11" i="1"/>
  <c r="I11" i="1" s="1"/>
  <c r="G46" i="1"/>
  <c r="I46" i="1" s="1"/>
  <c r="G30" i="1"/>
  <c r="I30" i="1" s="1"/>
  <c r="G40" i="1"/>
  <c r="I40" i="1" s="1"/>
  <c r="G18" i="1"/>
  <c r="I18" i="1" s="1"/>
  <c r="G28" i="1"/>
  <c r="I28" i="1" s="1"/>
  <c r="G36" i="1"/>
  <c r="I36" i="1" s="1"/>
  <c r="G45" i="1"/>
  <c r="I45" i="1" s="1"/>
  <c r="F27" i="1"/>
  <c r="F21" i="1"/>
  <c r="G21" i="1" s="1"/>
  <c r="I21" i="1" s="1"/>
  <c r="F32" i="1"/>
  <c r="G32" i="1" s="1"/>
  <c r="I32" i="1" s="1"/>
  <c r="F34" i="1"/>
  <c r="G34" i="1" s="1"/>
  <c r="I34" i="1" s="1"/>
  <c r="F24" i="1"/>
  <c r="G24" i="1" s="1"/>
  <c r="I24" i="1" s="1"/>
  <c r="F20" i="1"/>
  <c r="G20" i="1" s="1"/>
  <c r="I20" i="1" s="1"/>
  <c r="F33" i="1"/>
  <c r="F25" i="1"/>
  <c r="G25" i="1" s="1"/>
  <c r="I25" i="1" s="1"/>
  <c r="F26" i="1"/>
  <c r="G26" i="1" s="1"/>
  <c r="I26" i="1" s="1"/>
  <c r="F49" i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7" i="1"/>
  <c r="F12" i="1"/>
  <c r="G12" i="1" s="1"/>
  <c r="I12" i="1" s="1"/>
  <c r="F7" i="1"/>
  <c r="F2" i="1"/>
  <c r="G2" i="1" s="1"/>
  <c r="I2" i="1" s="1"/>
  <c r="F4" i="1"/>
  <c r="G4" i="1" s="1"/>
  <c r="I4" i="1" s="1"/>
  <c r="F5" i="1"/>
  <c r="G5" i="1" s="1"/>
  <c r="I5" i="1" s="1"/>
  <c r="F15" i="1"/>
  <c r="G15" i="1" s="1"/>
  <c r="I15" i="1" s="1"/>
  <c r="F11" i="1"/>
  <c r="F19" i="1"/>
  <c r="G19" i="1" s="1"/>
  <c r="I19" i="1" s="1"/>
  <c r="F6" i="1"/>
  <c r="G6" i="1" s="1"/>
  <c r="I6" i="1" s="1"/>
  <c r="F46" i="1"/>
  <c r="F29" i="1"/>
  <c r="G29" i="1" s="1"/>
  <c r="I29" i="1" s="1"/>
  <c r="F44" i="1"/>
  <c r="G44" i="1" s="1"/>
  <c r="I44" i="1" s="1"/>
  <c r="F8" i="1"/>
  <c r="G8" i="1" s="1"/>
  <c r="I8" i="1" s="1"/>
  <c r="F16" i="1"/>
  <c r="G16" i="1" s="1"/>
  <c r="I16" i="1" s="1"/>
  <c r="F48" i="1"/>
  <c r="G48" i="1" s="1"/>
  <c r="I48" i="1" s="1"/>
  <c r="F30" i="1"/>
  <c r="F31" i="1"/>
  <c r="G31" i="1" s="1"/>
  <c r="I31" i="1" s="1"/>
  <c r="F40" i="1"/>
  <c r="F51" i="1"/>
  <c r="G51" i="1" s="1"/>
  <c r="I51" i="1" s="1"/>
  <c r="F13" i="1"/>
  <c r="G13" i="1" s="1"/>
  <c r="I13" i="1" s="1"/>
  <c r="F17" i="1"/>
  <c r="G17" i="1" s="1"/>
  <c r="I17" i="1" s="1"/>
  <c r="F22" i="1"/>
  <c r="G22" i="1" s="1"/>
  <c r="I22" i="1" s="1"/>
  <c r="F18" i="1"/>
  <c r="F53" i="1"/>
  <c r="G53" i="1" s="1"/>
  <c r="I53" i="1" s="1"/>
  <c r="F9" i="1"/>
  <c r="G9" i="1" s="1"/>
  <c r="I9" i="1" s="1"/>
  <c r="F28" i="1"/>
  <c r="F38" i="1"/>
  <c r="G38" i="1" s="1"/>
  <c r="I38" i="1" s="1"/>
  <c r="F14" i="1"/>
  <c r="G14" i="1" s="1"/>
  <c r="I14" i="1" s="1"/>
  <c r="F10" i="1"/>
  <c r="G10" i="1" s="1"/>
  <c r="I10" i="1" s="1"/>
  <c r="F3" i="1"/>
  <c r="G3" i="1" s="1"/>
  <c r="I3" i="1" s="1"/>
  <c r="F23" i="1"/>
  <c r="G23" i="1" s="1"/>
  <c r="I23" i="1" s="1"/>
  <c r="F36" i="1"/>
  <c r="F43" i="1"/>
  <c r="G43" i="1" s="1"/>
  <c r="I43" i="1" s="1"/>
  <c r="F45" i="1"/>
  <c r="F41" i="1"/>
  <c r="G41" i="1" s="1"/>
  <c r="I41" i="1" s="1"/>
  <c r="F35" i="1"/>
  <c r="G35" i="1" s="1"/>
  <c r="I35" i="1" s="1"/>
  <c r="E26" i="1"/>
  <c r="E39" i="1"/>
  <c r="E12" i="1"/>
  <c r="E6" i="1"/>
  <c r="E29" i="1"/>
  <c r="E31" i="1"/>
  <c r="E51" i="1"/>
  <c r="E9" i="1"/>
  <c r="E38" i="1"/>
  <c r="E43" i="1"/>
  <c r="E41" i="1"/>
  <c r="D35" i="1"/>
  <c r="E35" i="1" s="1"/>
  <c r="D27" i="1"/>
  <c r="E27" i="1" s="1"/>
  <c r="D21" i="1"/>
  <c r="E21" i="1" s="1"/>
  <c r="D32" i="1"/>
  <c r="E32" i="1" s="1"/>
  <c r="D34" i="1"/>
  <c r="E34" i="1" s="1"/>
  <c r="D24" i="1"/>
  <c r="E24" i="1" s="1"/>
  <c r="D20" i="1"/>
  <c r="E20" i="1" s="1"/>
  <c r="D33" i="1"/>
  <c r="E33" i="1" s="1"/>
  <c r="D25" i="1"/>
  <c r="E25" i="1" s="1"/>
  <c r="D26" i="1"/>
  <c r="D49" i="1"/>
  <c r="E49" i="1" s="1"/>
  <c r="D39" i="1"/>
  <c r="D52" i="1"/>
  <c r="E52" i="1" s="1"/>
  <c r="D42" i="1"/>
  <c r="E42" i="1" s="1"/>
  <c r="D47" i="1"/>
  <c r="E47" i="1" s="1"/>
  <c r="D50" i="1"/>
  <c r="E50" i="1" s="1"/>
  <c r="D37" i="1"/>
  <c r="E37" i="1" s="1"/>
  <c r="D12" i="1"/>
  <c r="D7" i="1"/>
  <c r="E7" i="1" s="1"/>
  <c r="D2" i="1"/>
  <c r="E2" i="1" s="1"/>
  <c r="D4" i="1"/>
  <c r="E4" i="1" s="1"/>
  <c r="D5" i="1"/>
  <c r="E5" i="1" s="1"/>
  <c r="D15" i="1"/>
  <c r="E15" i="1" s="1"/>
  <c r="D11" i="1"/>
  <c r="E11" i="1" s="1"/>
  <c r="D19" i="1"/>
  <c r="E19" i="1" s="1"/>
  <c r="D6" i="1"/>
  <c r="D46" i="1"/>
  <c r="E46" i="1" s="1"/>
  <c r="D29" i="1"/>
  <c r="D44" i="1"/>
  <c r="E44" i="1" s="1"/>
  <c r="D8" i="1"/>
  <c r="E8" i="1" s="1"/>
  <c r="D16" i="1"/>
  <c r="E16" i="1" s="1"/>
  <c r="D48" i="1"/>
  <c r="E48" i="1" s="1"/>
  <c r="D30" i="1"/>
  <c r="E30" i="1" s="1"/>
  <c r="D31" i="1"/>
  <c r="D40" i="1"/>
  <c r="E40" i="1" s="1"/>
  <c r="D51" i="1"/>
  <c r="D13" i="1"/>
  <c r="E13" i="1" s="1"/>
  <c r="D17" i="1"/>
  <c r="E17" i="1" s="1"/>
  <c r="D22" i="1"/>
  <c r="E22" i="1" s="1"/>
  <c r="D18" i="1"/>
  <c r="E18" i="1" s="1"/>
  <c r="D53" i="1"/>
  <c r="E53" i="1" s="1"/>
  <c r="D9" i="1"/>
  <c r="D28" i="1"/>
  <c r="E28" i="1" s="1"/>
  <c r="D38" i="1"/>
  <c r="D14" i="1"/>
  <c r="E14" i="1" s="1"/>
  <c r="D10" i="1"/>
  <c r="E10" i="1" s="1"/>
  <c r="D3" i="1"/>
  <c r="E3" i="1" s="1"/>
  <c r="D23" i="1"/>
  <c r="E23" i="1" s="1"/>
  <c r="D36" i="1"/>
  <c r="E36" i="1" s="1"/>
  <c r="D43" i="1"/>
  <c r="D45" i="1"/>
  <c r="E45" i="1" s="1"/>
  <c r="D41" i="1"/>
  <c r="C24" i="1"/>
  <c r="C47" i="1"/>
  <c r="C5" i="1"/>
  <c r="C8" i="1"/>
  <c r="C17" i="1"/>
  <c r="B27" i="1"/>
  <c r="C27" i="1" s="1"/>
  <c r="B21" i="1"/>
  <c r="C21" i="1" s="1"/>
  <c r="B32" i="1"/>
  <c r="C32" i="1" s="1"/>
  <c r="B34" i="1"/>
  <c r="C34" i="1" s="1"/>
  <c r="B24" i="1"/>
  <c r="B20" i="1"/>
  <c r="C20" i="1" s="1"/>
  <c r="B33" i="1"/>
  <c r="C33" i="1" s="1"/>
  <c r="B25" i="1"/>
  <c r="C25" i="1" s="1"/>
  <c r="B26" i="1"/>
  <c r="C26" i="1" s="1"/>
  <c r="B49" i="1"/>
  <c r="C49" i="1" s="1"/>
  <c r="B39" i="1"/>
  <c r="C39" i="1" s="1"/>
  <c r="B52" i="1"/>
  <c r="C52" i="1" s="1"/>
  <c r="B42" i="1"/>
  <c r="C42" i="1" s="1"/>
  <c r="B47" i="1"/>
  <c r="B50" i="1"/>
  <c r="C50" i="1" s="1"/>
  <c r="B37" i="1"/>
  <c r="C37" i="1" s="1"/>
  <c r="B12" i="1"/>
  <c r="C12" i="1" s="1"/>
  <c r="B7" i="1"/>
  <c r="C7" i="1" s="1"/>
  <c r="B2" i="1"/>
  <c r="C2" i="1" s="1"/>
  <c r="B4" i="1"/>
  <c r="C4" i="1" s="1"/>
  <c r="B5" i="1"/>
  <c r="B15" i="1"/>
  <c r="C15" i="1" s="1"/>
  <c r="B11" i="1"/>
  <c r="C11" i="1" s="1"/>
  <c r="B19" i="1"/>
  <c r="C19" i="1" s="1"/>
  <c r="B6" i="1"/>
  <c r="C6" i="1" s="1"/>
  <c r="B46" i="1"/>
  <c r="C46" i="1" s="1"/>
  <c r="B29" i="1"/>
  <c r="C29" i="1" s="1"/>
  <c r="B44" i="1"/>
  <c r="C44" i="1" s="1"/>
  <c r="B8" i="1"/>
  <c r="B16" i="1"/>
  <c r="C16" i="1" s="1"/>
  <c r="B48" i="1"/>
  <c r="C48" i="1" s="1"/>
  <c r="B30" i="1"/>
  <c r="C30" i="1" s="1"/>
  <c r="B31" i="1"/>
  <c r="C31" i="1" s="1"/>
  <c r="B40" i="1"/>
  <c r="C40" i="1" s="1"/>
  <c r="B51" i="1"/>
  <c r="C51" i="1" s="1"/>
  <c r="B13" i="1"/>
  <c r="C13" i="1" s="1"/>
  <c r="B17" i="1"/>
  <c r="B22" i="1"/>
  <c r="C22" i="1" s="1"/>
  <c r="B18" i="1"/>
  <c r="C18" i="1" s="1"/>
  <c r="B53" i="1"/>
  <c r="C53" i="1" s="1"/>
  <c r="B9" i="1"/>
  <c r="C9" i="1" s="1"/>
  <c r="B28" i="1"/>
  <c r="C28" i="1" s="1"/>
  <c r="B38" i="1"/>
  <c r="C38" i="1" s="1"/>
  <c r="B14" i="1"/>
  <c r="C14" i="1" s="1"/>
  <c r="B10" i="1"/>
  <c r="C10" i="1" s="1"/>
  <c r="B3" i="1"/>
  <c r="C3" i="1" s="1"/>
  <c r="B23" i="1"/>
  <c r="C23" i="1" s="1"/>
  <c r="B36" i="1"/>
  <c r="C36" i="1" s="1"/>
  <c r="B43" i="1"/>
  <c r="C43" i="1" s="1"/>
  <c r="B45" i="1"/>
  <c r="C45" i="1" s="1"/>
  <c r="B41" i="1"/>
  <c r="C41" i="1" s="1"/>
  <c r="B35" i="1"/>
  <c r="C35" i="1" s="1"/>
  <c r="F176" i="3"/>
  <c r="F175" i="3"/>
  <c r="F174" i="3"/>
  <c r="H31" i="3"/>
  <c r="H159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2" i="3"/>
  <c r="H2" i="3" s="1"/>
  <c r="L5" i="5"/>
  <c r="L6" i="5"/>
  <c r="L7" i="5"/>
  <c r="L8" i="5"/>
  <c r="K8" i="5"/>
  <c r="K7" i="5"/>
  <c r="K6" i="5"/>
  <c r="K5" i="5"/>
  <c r="K4" i="5"/>
  <c r="I8" i="5"/>
  <c r="I7" i="5"/>
  <c r="I6" i="5"/>
  <c r="I5" i="5"/>
  <c r="I4" i="5"/>
  <c r="G8" i="5"/>
  <c r="G7" i="5"/>
  <c r="G6" i="5"/>
  <c r="G5" i="5"/>
  <c r="G4" i="5"/>
  <c r="E5" i="5"/>
  <c r="E6" i="5"/>
  <c r="E7" i="5"/>
  <c r="E8" i="5"/>
  <c r="E4" i="5"/>
  <c r="C5" i="5"/>
  <c r="C6" i="5"/>
  <c r="C7" i="5"/>
  <c r="C8" i="5"/>
  <c r="C4" i="5"/>
  <c r="L4" i="5" s="1"/>
  <c r="J22" i="2"/>
  <c r="J23" i="2"/>
  <c r="J24" i="2"/>
  <c r="D22" i="2"/>
  <c r="E22" i="2"/>
  <c r="D23" i="2"/>
  <c r="E23" i="2"/>
  <c r="D24" i="2"/>
  <c r="E24" i="2"/>
  <c r="C24" i="2"/>
  <c r="C23" i="2"/>
  <c r="C22" i="2"/>
  <c r="M6" i="2"/>
  <c r="M7" i="2"/>
  <c r="M8" i="2"/>
  <c r="M14" i="2"/>
  <c r="M15" i="2"/>
  <c r="M1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4" i="2"/>
  <c r="I5" i="2"/>
  <c r="M5" i="2" s="1"/>
  <c r="I6" i="2"/>
  <c r="I7" i="2"/>
  <c r="I8" i="2"/>
  <c r="I9" i="2"/>
  <c r="I10" i="2"/>
  <c r="I11" i="2"/>
  <c r="I12" i="2"/>
  <c r="I13" i="2"/>
  <c r="M13" i="2" s="1"/>
  <c r="I14" i="2"/>
  <c r="I15" i="2"/>
  <c r="I16" i="2"/>
  <c r="I17" i="2"/>
  <c r="I18" i="2"/>
  <c r="I19" i="2"/>
  <c r="I20" i="2"/>
  <c r="I4" i="2"/>
  <c r="I22" i="2" s="1"/>
  <c r="H5" i="2"/>
  <c r="H6" i="2"/>
  <c r="H7" i="2"/>
  <c r="H8" i="2"/>
  <c r="H9" i="2"/>
  <c r="H24" i="2" s="1"/>
  <c r="H10" i="2"/>
  <c r="M10" i="2" s="1"/>
  <c r="H11" i="2"/>
  <c r="M11" i="2" s="1"/>
  <c r="H12" i="2"/>
  <c r="M12" i="2" s="1"/>
  <c r="H13" i="2"/>
  <c r="H14" i="2"/>
  <c r="H15" i="2"/>
  <c r="H16" i="2"/>
  <c r="H17" i="2"/>
  <c r="M17" i="2" s="1"/>
  <c r="H18" i="2"/>
  <c r="M18" i="2" s="1"/>
  <c r="H19" i="2"/>
  <c r="M19" i="2" s="1"/>
  <c r="H20" i="2"/>
  <c r="M20" i="2" s="1"/>
  <c r="H4" i="2"/>
  <c r="V20" i="4"/>
  <c r="AA20" i="4" s="1"/>
  <c r="U20" i="4"/>
  <c r="S20" i="4"/>
  <c r="R20" i="4"/>
  <c r="Q20" i="4"/>
  <c r="P20" i="4"/>
  <c r="Z20" i="4" s="1"/>
  <c r="O20" i="4"/>
  <c r="Y20" i="4" s="1"/>
  <c r="N20" i="4"/>
  <c r="X20" i="4" s="1"/>
  <c r="M20" i="4"/>
  <c r="W20" i="4" s="1"/>
  <c r="L20" i="4"/>
  <c r="K20" i="4"/>
  <c r="J20" i="4"/>
  <c r="T20" i="4" s="1"/>
  <c r="I20" i="4"/>
  <c r="W19" i="4"/>
  <c r="R19" i="4"/>
  <c r="AB19" i="4" s="1"/>
  <c r="Q19" i="4"/>
  <c r="AA19" i="4" s="1"/>
  <c r="P19" i="4"/>
  <c r="O19" i="4"/>
  <c r="N19" i="4"/>
  <c r="X19" i="4" s="1"/>
  <c r="M19" i="4"/>
  <c r="L19" i="4"/>
  <c r="V19" i="4" s="1"/>
  <c r="K19" i="4"/>
  <c r="U19" i="4" s="1"/>
  <c r="Z19" i="4" s="1"/>
  <c r="J19" i="4"/>
  <c r="T19" i="4" s="1"/>
  <c r="Y19" i="4" s="1"/>
  <c r="I19" i="4"/>
  <c r="S19" i="4" s="1"/>
  <c r="V18" i="4"/>
  <c r="AA18" i="4" s="1"/>
  <c r="U18" i="4"/>
  <c r="S18" i="4"/>
  <c r="R18" i="4"/>
  <c r="Q18" i="4"/>
  <c r="P18" i="4"/>
  <c r="Z18" i="4" s="1"/>
  <c r="O18" i="4"/>
  <c r="Y18" i="4" s="1"/>
  <c r="N18" i="4"/>
  <c r="X18" i="4" s="1"/>
  <c r="M18" i="4"/>
  <c r="W18" i="4" s="1"/>
  <c r="L18" i="4"/>
  <c r="K18" i="4"/>
  <c r="J18" i="4"/>
  <c r="T18" i="4" s="1"/>
  <c r="I18" i="4"/>
  <c r="W17" i="4"/>
  <c r="R17" i="4"/>
  <c r="AB17" i="4" s="1"/>
  <c r="Q17" i="4"/>
  <c r="AA17" i="4" s="1"/>
  <c r="P17" i="4"/>
  <c r="O17" i="4"/>
  <c r="N17" i="4"/>
  <c r="X17" i="4" s="1"/>
  <c r="M17" i="4"/>
  <c r="L17" i="4"/>
  <c r="V17" i="4" s="1"/>
  <c r="K17" i="4"/>
  <c r="U17" i="4" s="1"/>
  <c r="Z17" i="4" s="1"/>
  <c r="J17" i="4"/>
  <c r="T17" i="4" s="1"/>
  <c r="Y17" i="4" s="1"/>
  <c r="I17" i="4"/>
  <c r="S17" i="4" s="1"/>
  <c r="V16" i="4"/>
  <c r="AA16" i="4" s="1"/>
  <c r="U16" i="4"/>
  <c r="S16" i="4"/>
  <c r="R16" i="4"/>
  <c r="Q16" i="4"/>
  <c r="P16" i="4"/>
  <c r="Z16" i="4" s="1"/>
  <c r="O16" i="4"/>
  <c r="Y16" i="4" s="1"/>
  <c r="N16" i="4"/>
  <c r="X16" i="4" s="1"/>
  <c r="M16" i="4"/>
  <c r="W16" i="4" s="1"/>
  <c r="L16" i="4"/>
  <c r="K16" i="4"/>
  <c r="J16" i="4"/>
  <c r="T16" i="4" s="1"/>
  <c r="I16" i="4"/>
  <c r="W15" i="4"/>
  <c r="R15" i="4"/>
  <c r="AB15" i="4" s="1"/>
  <c r="Q15" i="4"/>
  <c r="AA15" i="4" s="1"/>
  <c r="P15" i="4"/>
  <c r="O15" i="4"/>
  <c r="N15" i="4"/>
  <c r="X15" i="4" s="1"/>
  <c r="AD15" i="4" s="1"/>
  <c r="M15" i="4"/>
  <c r="L15" i="4"/>
  <c r="V15" i="4" s="1"/>
  <c r="K15" i="4"/>
  <c r="U15" i="4" s="1"/>
  <c r="Z15" i="4" s="1"/>
  <c r="J15" i="4"/>
  <c r="T15" i="4" s="1"/>
  <c r="Y15" i="4" s="1"/>
  <c r="I15" i="4"/>
  <c r="S15" i="4" s="1"/>
  <c r="V14" i="4"/>
  <c r="AA14" i="4" s="1"/>
  <c r="U14" i="4"/>
  <c r="S14" i="4"/>
  <c r="R14" i="4"/>
  <c r="Q14" i="4"/>
  <c r="P14" i="4"/>
  <c r="Z14" i="4" s="1"/>
  <c r="O14" i="4"/>
  <c r="Y14" i="4" s="1"/>
  <c r="N14" i="4"/>
  <c r="X14" i="4" s="1"/>
  <c r="M14" i="4"/>
  <c r="W14" i="4" s="1"/>
  <c r="L14" i="4"/>
  <c r="K14" i="4"/>
  <c r="J14" i="4"/>
  <c r="T14" i="4" s="1"/>
  <c r="I14" i="4"/>
  <c r="W13" i="4"/>
  <c r="R13" i="4"/>
  <c r="AB13" i="4" s="1"/>
  <c r="Q13" i="4"/>
  <c r="AA13" i="4" s="1"/>
  <c r="P13" i="4"/>
  <c r="O13" i="4"/>
  <c r="N13" i="4"/>
  <c r="X13" i="4" s="1"/>
  <c r="AD13" i="4" s="1"/>
  <c r="M13" i="4"/>
  <c r="L13" i="4"/>
  <c r="V13" i="4" s="1"/>
  <c r="K13" i="4"/>
  <c r="U13" i="4" s="1"/>
  <c r="Z13" i="4" s="1"/>
  <c r="J13" i="4"/>
  <c r="T13" i="4" s="1"/>
  <c r="Y13" i="4" s="1"/>
  <c r="I13" i="4"/>
  <c r="S13" i="4" s="1"/>
  <c r="V12" i="4"/>
  <c r="AA12" i="4" s="1"/>
  <c r="U12" i="4"/>
  <c r="S12" i="4"/>
  <c r="R12" i="4"/>
  <c r="Q12" i="4"/>
  <c r="P12" i="4"/>
  <c r="Z12" i="4" s="1"/>
  <c r="O12" i="4"/>
  <c r="Y12" i="4" s="1"/>
  <c r="N12" i="4"/>
  <c r="X12" i="4" s="1"/>
  <c r="M12" i="4"/>
  <c r="W12" i="4" s="1"/>
  <c r="L12" i="4"/>
  <c r="K12" i="4"/>
  <c r="J12" i="4"/>
  <c r="T12" i="4" s="1"/>
  <c r="I12" i="4"/>
  <c r="W11" i="4"/>
  <c r="R11" i="4"/>
  <c r="AB11" i="4" s="1"/>
  <c r="Q11" i="4"/>
  <c r="AA11" i="4" s="1"/>
  <c r="P11" i="4"/>
  <c r="O11" i="4"/>
  <c r="N11" i="4"/>
  <c r="X11" i="4" s="1"/>
  <c r="M11" i="4"/>
  <c r="L11" i="4"/>
  <c r="V11" i="4" s="1"/>
  <c r="K11" i="4"/>
  <c r="U11" i="4" s="1"/>
  <c r="Z11" i="4" s="1"/>
  <c r="J11" i="4"/>
  <c r="T11" i="4" s="1"/>
  <c r="Y11" i="4" s="1"/>
  <c r="I11" i="4"/>
  <c r="S11" i="4" s="1"/>
  <c r="V10" i="4"/>
  <c r="AA10" i="4" s="1"/>
  <c r="U10" i="4"/>
  <c r="S10" i="4"/>
  <c r="R10" i="4"/>
  <c r="Q10" i="4"/>
  <c r="P10" i="4"/>
  <c r="Z10" i="4" s="1"/>
  <c r="O10" i="4"/>
  <c r="Y10" i="4" s="1"/>
  <c r="N10" i="4"/>
  <c r="X10" i="4" s="1"/>
  <c r="M10" i="4"/>
  <c r="W10" i="4" s="1"/>
  <c r="L10" i="4"/>
  <c r="K10" i="4"/>
  <c r="J10" i="4"/>
  <c r="T10" i="4" s="1"/>
  <c r="I10" i="4"/>
  <c r="W9" i="4"/>
  <c r="V9" i="4"/>
  <c r="R9" i="4"/>
  <c r="AB9" i="4" s="1"/>
  <c r="Q9" i="4"/>
  <c r="AA9" i="4" s="1"/>
  <c r="P9" i="4"/>
  <c r="O9" i="4"/>
  <c r="N9" i="4"/>
  <c r="M9" i="4"/>
  <c r="L9" i="4"/>
  <c r="K9" i="4"/>
  <c r="U9" i="4" s="1"/>
  <c r="Z9" i="4" s="1"/>
  <c r="J9" i="4"/>
  <c r="T9" i="4" s="1"/>
  <c r="Y9" i="4" s="1"/>
  <c r="I9" i="4"/>
  <c r="S9" i="4" s="1"/>
  <c r="V8" i="4"/>
  <c r="AA8" i="4" s="1"/>
  <c r="U8" i="4"/>
  <c r="Z8" i="4" s="1"/>
  <c r="S8" i="4"/>
  <c r="R8" i="4"/>
  <c r="Q8" i="4"/>
  <c r="P8" i="4"/>
  <c r="O8" i="4"/>
  <c r="Y8" i="4" s="1"/>
  <c r="N8" i="4"/>
  <c r="X8" i="4" s="1"/>
  <c r="M8" i="4"/>
  <c r="W8" i="4" s="1"/>
  <c r="L8" i="4"/>
  <c r="K8" i="4"/>
  <c r="J8" i="4"/>
  <c r="T8" i="4" s="1"/>
  <c r="I8" i="4"/>
  <c r="W7" i="4"/>
  <c r="V7" i="4"/>
  <c r="R7" i="4"/>
  <c r="AB7" i="4" s="1"/>
  <c r="Q7" i="4"/>
  <c r="AA7" i="4" s="1"/>
  <c r="P7" i="4"/>
  <c r="O7" i="4"/>
  <c r="N7" i="4"/>
  <c r="M7" i="4"/>
  <c r="L7" i="4"/>
  <c r="K7" i="4"/>
  <c r="U7" i="4" s="1"/>
  <c r="Z7" i="4" s="1"/>
  <c r="J7" i="4"/>
  <c r="T7" i="4" s="1"/>
  <c r="Y7" i="4" s="1"/>
  <c r="I7" i="4"/>
  <c r="S7" i="4" s="1"/>
  <c r="V6" i="4"/>
  <c r="AA6" i="4" s="1"/>
  <c r="U6" i="4"/>
  <c r="Z6" i="4" s="1"/>
  <c r="S6" i="4"/>
  <c r="R6" i="4"/>
  <c r="Q6" i="4"/>
  <c r="P6" i="4"/>
  <c r="O6" i="4"/>
  <c r="Y6" i="4" s="1"/>
  <c r="N6" i="4"/>
  <c r="X6" i="4" s="1"/>
  <c r="M6" i="4"/>
  <c r="W6" i="4" s="1"/>
  <c r="L6" i="4"/>
  <c r="K6" i="4"/>
  <c r="J6" i="4"/>
  <c r="T6" i="4" s="1"/>
  <c r="I6" i="4"/>
  <c r="W5" i="4"/>
  <c r="V5" i="4"/>
  <c r="R5" i="4"/>
  <c r="R24" i="4" s="1"/>
  <c r="Q5" i="4"/>
  <c r="Q25" i="4" s="1"/>
  <c r="P5" i="4"/>
  <c r="O5" i="4"/>
  <c r="N5" i="4"/>
  <c r="M5" i="4"/>
  <c r="L5" i="4"/>
  <c r="K5" i="4"/>
  <c r="U5" i="4" s="1"/>
  <c r="J5" i="4"/>
  <c r="J23" i="4" s="1"/>
  <c r="I5" i="4"/>
  <c r="S5" i="4" s="1"/>
  <c r="V4" i="4"/>
  <c r="AA4" i="4" s="1"/>
  <c r="U4" i="4"/>
  <c r="S4" i="4"/>
  <c r="R4" i="4"/>
  <c r="AB4" i="4" s="1"/>
  <c r="Q4" i="4"/>
  <c r="P4" i="4"/>
  <c r="O4" i="4"/>
  <c r="O25" i="4" s="1"/>
  <c r="N4" i="4"/>
  <c r="X4" i="4" s="1"/>
  <c r="M4" i="4"/>
  <c r="W4" i="4" s="1"/>
  <c r="L4" i="4"/>
  <c r="K4" i="4"/>
  <c r="J4" i="4"/>
  <c r="T4" i="4" s="1"/>
  <c r="I4" i="4"/>
  <c r="Y3" i="4"/>
  <c r="Z3" i="4" s="1"/>
  <c r="AA3" i="4" s="1"/>
  <c r="AB3" i="4" s="1"/>
  <c r="V3" i="4"/>
  <c r="W3" i="4" s="1"/>
  <c r="U3" i="4"/>
  <c r="T3" i="4"/>
  <c r="O3" i="4"/>
  <c r="P3" i="4" s="1"/>
  <c r="Q3" i="4" s="1"/>
  <c r="R3" i="4" s="1"/>
  <c r="L3" i="4"/>
  <c r="M3" i="4" s="1"/>
  <c r="K3" i="4"/>
  <c r="J3" i="4"/>
  <c r="E3" i="4"/>
  <c r="F3" i="4" s="1"/>
  <c r="G3" i="4" s="1"/>
  <c r="H3" i="4" s="1"/>
  <c r="L24" i="4"/>
  <c r="E23" i="4"/>
  <c r="F23" i="4"/>
  <c r="G23" i="4"/>
  <c r="H23" i="4"/>
  <c r="L23" i="4"/>
  <c r="E24" i="4"/>
  <c r="F24" i="4"/>
  <c r="G24" i="4"/>
  <c r="H24" i="4"/>
  <c r="K24" i="4"/>
  <c r="E25" i="4"/>
  <c r="F25" i="4"/>
  <c r="G25" i="4"/>
  <c r="H25" i="4"/>
  <c r="K25" i="4"/>
  <c r="E26" i="4"/>
  <c r="F26" i="4"/>
  <c r="G26" i="4"/>
  <c r="H26" i="4"/>
  <c r="K26" i="4"/>
  <c r="O24" i="4"/>
  <c r="Q24" i="4"/>
  <c r="D23" i="4"/>
  <c r="D24" i="4"/>
  <c r="D25" i="4"/>
  <c r="D26" i="4"/>
  <c r="C25" i="4"/>
  <c r="C24" i="4"/>
  <c r="C23" i="4"/>
  <c r="D13" i="11" l="1"/>
  <c r="B17" i="11"/>
  <c r="B24" i="11"/>
  <c r="N6" i="14"/>
  <c r="O6" i="14" s="1"/>
  <c r="N8" i="14"/>
  <c r="O8" i="14" s="1"/>
  <c r="M4" i="2"/>
  <c r="I23" i="2"/>
  <c r="I24" i="2"/>
  <c r="M9" i="2"/>
  <c r="H22" i="2"/>
  <c r="H23" i="2"/>
  <c r="Z5" i="4"/>
  <c r="U23" i="4"/>
  <c r="X5" i="4"/>
  <c r="AD5" i="4" s="1"/>
  <c r="AB6" i="4"/>
  <c r="AD6" i="4" s="1"/>
  <c r="AD20" i="4"/>
  <c r="U24" i="4"/>
  <c r="X7" i="4"/>
  <c r="AB8" i="4"/>
  <c r="X9" i="4"/>
  <c r="AB10" i="4"/>
  <c r="AD10" i="4" s="1"/>
  <c r="AB12" i="4"/>
  <c r="AB14" i="4"/>
  <c r="AD14" i="4" s="1"/>
  <c r="AB16" i="4"/>
  <c r="AB18" i="4"/>
  <c r="AB20" i="4"/>
  <c r="M24" i="4"/>
  <c r="R26" i="4"/>
  <c r="M26" i="4"/>
  <c r="Q26" i="4"/>
  <c r="O26" i="4"/>
  <c r="Q23" i="4"/>
  <c r="J26" i="4"/>
  <c r="J25" i="4"/>
  <c r="J24" i="4"/>
  <c r="K23" i="4"/>
  <c r="T5" i="4"/>
  <c r="Y5" i="4" s="1"/>
  <c r="AB5" i="4"/>
  <c r="M25" i="4"/>
  <c r="M23" i="4"/>
  <c r="AA5" i="4"/>
  <c r="R25" i="4"/>
  <c r="O23" i="4"/>
  <c r="I26" i="4"/>
  <c r="I25" i="4"/>
  <c r="I24" i="4"/>
  <c r="Y4" i="4"/>
  <c r="R23" i="4"/>
  <c r="U26" i="4"/>
  <c r="I23" i="4"/>
  <c r="Z4" i="4"/>
  <c r="Z26" i="4" s="1"/>
  <c r="U25" i="4"/>
  <c r="AD9" i="4"/>
  <c r="AD7" i="4"/>
  <c r="Z25" i="4"/>
  <c r="Z23" i="4"/>
  <c r="AD18" i="4"/>
  <c r="AD12" i="4"/>
  <c r="AD19" i="4"/>
  <c r="AD16" i="4"/>
  <c r="AD17" i="4"/>
  <c r="AD8" i="4"/>
  <c r="W24" i="4"/>
  <c r="W26" i="4"/>
  <c r="W23" i="4"/>
  <c r="W25" i="4"/>
  <c r="AD11" i="4"/>
  <c r="P26" i="4"/>
  <c r="P24" i="4"/>
  <c r="P25" i="4"/>
  <c r="P23" i="4"/>
  <c r="L26" i="4"/>
  <c r="L25" i="4"/>
  <c r="S26" i="4"/>
  <c r="S23" i="4"/>
  <c r="S24" i="4"/>
  <c r="S25" i="4"/>
  <c r="N24" i="4"/>
  <c r="N23" i="4"/>
  <c r="N26" i="4"/>
  <c r="N25" i="4"/>
  <c r="B18" i="11" l="1"/>
  <c r="D14" i="11"/>
  <c r="B23" i="11"/>
  <c r="T25" i="4"/>
  <c r="Z24" i="4"/>
  <c r="T24" i="4"/>
  <c r="T26" i="4"/>
  <c r="T23" i="4"/>
  <c r="V24" i="4"/>
  <c r="V26" i="4"/>
  <c r="V25" i="4"/>
  <c r="V23" i="4"/>
  <c r="AB24" i="4"/>
  <c r="AB23" i="4"/>
  <c r="AB25" i="4"/>
  <c r="AB26" i="4"/>
  <c r="Y24" i="4"/>
  <c r="AD4" i="4"/>
  <c r="Y25" i="4"/>
  <c r="Y23" i="4"/>
  <c r="Y26" i="4"/>
  <c r="X26" i="4"/>
  <c r="X23" i="4"/>
  <c r="X24" i="4"/>
  <c r="X25" i="4"/>
  <c r="AD26" i="4" l="1"/>
  <c r="AD25" i="4"/>
  <c r="AD24" i="4"/>
  <c r="AD23" i="4"/>
  <c r="AA26" i="4"/>
  <c r="AA24" i="4"/>
  <c r="AA25" i="4"/>
  <c r="AA23" i="4"/>
</calcChain>
</file>

<file path=xl/sharedStrings.xml><?xml version="1.0" encoding="utf-8"?>
<sst xmlns="http://schemas.openxmlformats.org/spreadsheetml/2006/main" count="1382" uniqueCount="403">
  <si>
    <t>Employee Payroll</t>
  </si>
  <si>
    <t>Last Name</t>
  </si>
  <si>
    <t>First Name</t>
  </si>
  <si>
    <t>Hourly Wage</t>
  </si>
  <si>
    <t>Hours Worked</t>
  </si>
  <si>
    <t>Pay</t>
  </si>
  <si>
    <t>Kern</t>
  </si>
  <si>
    <t>Howard</t>
  </si>
  <si>
    <t>O'Donovan</t>
  </si>
  <si>
    <t>Hernandez</t>
  </si>
  <si>
    <t>Smith</t>
  </si>
  <si>
    <t>Baker</t>
  </si>
  <si>
    <t>Melinda</t>
  </si>
  <si>
    <t>Carnehan</t>
  </si>
  <si>
    <t>Jain</t>
  </si>
  <si>
    <t>Tomar</t>
  </si>
  <si>
    <t>Kakran</t>
  </si>
  <si>
    <t>Young</t>
  </si>
  <si>
    <t>Trenton</t>
  </si>
  <si>
    <t>Leclerc</t>
  </si>
  <si>
    <t>Verstappen</t>
  </si>
  <si>
    <t>Alonso</t>
  </si>
  <si>
    <t>Vettel</t>
  </si>
  <si>
    <t>Jon</t>
  </si>
  <si>
    <t>Glenda</t>
  </si>
  <si>
    <t>Ron</t>
  </si>
  <si>
    <t>Wendy</t>
  </si>
  <si>
    <t>Paul</t>
  </si>
  <si>
    <t>Tom</t>
  </si>
  <si>
    <t>Nancy</t>
  </si>
  <si>
    <t>Karen</t>
  </si>
  <si>
    <t>Sanjeev</t>
  </si>
  <si>
    <t>Aryan</t>
  </si>
  <si>
    <t>Arjun</t>
  </si>
  <si>
    <t>Sheldon</t>
  </si>
  <si>
    <t>John</t>
  </si>
  <si>
    <t>Charles</t>
  </si>
  <si>
    <t>Max</t>
  </si>
  <si>
    <t>Fernando</t>
  </si>
  <si>
    <t>Sebastian</t>
  </si>
  <si>
    <t>Min</t>
  </si>
  <si>
    <t>Average</t>
  </si>
  <si>
    <t>Total</t>
  </si>
  <si>
    <t>Mr. Sooraj</t>
  </si>
  <si>
    <t>Overtime Hours</t>
  </si>
  <si>
    <t>Overtime Bonus</t>
  </si>
  <si>
    <t>Total Pay</t>
  </si>
  <si>
    <t>January Pay</t>
  </si>
  <si>
    <t>GradeBook</t>
  </si>
  <si>
    <t>Hamilton</t>
  </si>
  <si>
    <t>Lewis</t>
  </si>
  <si>
    <t>Piastri</t>
  </si>
  <si>
    <t>Oscar</t>
  </si>
  <si>
    <t>Russell</t>
  </si>
  <si>
    <t>George</t>
  </si>
  <si>
    <t>Perez</t>
  </si>
  <si>
    <t>Sergio</t>
  </si>
  <si>
    <t>Mazepin</t>
  </si>
  <si>
    <t>Nikita</t>
  </si>
  <si>
    <t>Zhou</t>
  </si>
  <si>
    <t>Gyanyu</t>
  </si>
  <si>
    <t>Kohli</t>
  </si>
  <si>
    <t>Virat</t>
  </si>
  <si>
    <t>Norris</t>
  </si>
  <si>
    <t>Lando</t>
  </si>
  <si>
    <t>Boult</t>
  </si>
  <si>
    <t>Trent</t>
  </si>
  <si>
    <t>Ascari</t>
  </si>
  <si>
    <t>Alberto</t>
  </si>
  <si>
    <t>Momento</t>
  </si>
  <si>
    <t>Uno</t>
  </si>
  <si>
    <t>Naem</t>
  </si>
  <si>
    <t>Notareal</t>
  </si>
  <si>
    <t>Havinfun</t>
  </si>
  <si>
    <t>Whilelearnin</t>
  </si>
  <si>
    <t>Safety Test</t>
  </si>
  <si>
    <t>Drug Test</t>
  </si>
  <si>
    <t>Company Philosophy Test</t>
  </si>
  <si>
    <t>Financial Skills Test</t>
  </si>
  <si>
    <t>Points Possible</t>
  </si>
  <si>
    <t>Reject Candidate?</t>
  </si>
  <si>
    <t>Career Decisions</t>
  </si>
  <si>
    <t>Job</t>
  </si>
  <si>
    <t>Doctor</t>
  </si>
  <si>
    <t>Software Developer</t>
  </si>
  <si>
    <t>Uber Driver</t>
  </si>
  <si>
    <t>Gol Gappe Vendor</t>
  </si>
  <si>
    <t>Cricketer</t>
  </si>
  <si>
    <t>Enjoyment</t>
  </si>
  <si>
    <t>Talent</t>
  </si>
  <si>
    <t>Education</t>
  </si>
  <si>
    <t>Job Market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</si>
  <si>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</si>
  <si>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</si>
  <si>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</si>
  <si>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</si>
  <si>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</si>
  <si>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</si>
  <si>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</si>
  <si>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</si>
  <si>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</si>
  <si>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</si>
  <si>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</si>
  <si>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</si>
  <si>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</si>
  <si>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</si>
  <si>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</si>
  <si>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</si>
  <si>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</si>
  <si>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</si>
  <si>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</si>
  <si>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</si>
  <si>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</si>
  <si>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</si>
  <si>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</si>
  <si>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</si>
  <si>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</si>
  <si>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</si>
  <si>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</si>
  <si>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</si>
  <si>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</si>
  <si>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</si>
  <si>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</si>
  <si>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</si>
  <si>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</si>
  <si>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</si>
  <si>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</si>
  <si>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</si>
  <si>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$50, else 20%</t>
  </si>
  <si>
    <t>Chalie</t>
  </si>
  <si>
    <t>Barns</t>
  </si>
  <si>
    <t>Juan</t>
  </si>
  <si>
    <t>Doug</t>
  </si>
  <si>
    <t>Hellen</t>
  </si>
  <si>
    <t>Johnson</t>
  </si>
  <si>
    <t>Sum of all items</t>
  </si>
  <si>
    <t>Sum of all items valued more than $50</t>
  </si>
  <si>
    <t>Sum of all items valued $50 or less</t>
  </si>
  <si>
    <t>Row Labels</t>
  </si>
  <si>
    <t>Grand Total</t>
  </si>
  <si>
    <t>Sum of Sale Price</t>
  </si>
  <si>
    <t>Mr Sooraj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</si>
  <si>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</si>
  <si>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</si>
  <si>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</si>
  <si>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</si>
  <si>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</si>
  <si>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</si>
  <si>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</si>
  <si>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</si>
  <si>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</si>
  <si>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</si>
  <si>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</si>
  <si>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</si>
  <si>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</si>
  <si>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</si>
  <si>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</si>
  <si>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</si>
  <si>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</si>
  <si>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</si>
  <si>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</si>
  <si>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</si>
  <si>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</si>
  <si>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</si>
  <si>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</si>
  <si>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</si>
  <si>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</si>
  <si>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</si>
  <si>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</si>
  <si>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</si>
  <si>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</si>
  <si>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</si>
  <si>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</si>
  <si>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</si>
  <si>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</si>
  <si>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</si>
  <si>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</si>
  <si>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</si>
  <si>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</si>
  <si>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</si>
  <si>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</si>
  <si>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</si>
  <si>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</si>
  <si>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</si>
  <si>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</si>
  <si>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</si>
  <si>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</si>
  <si>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</si>
  <si>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</si>
  <si>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</si>
  <si>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</si>
  <si>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</si>
  <si>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</si>
  <si>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</si>
  <si>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</si>
  <si>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</si>
  <si>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</si>
  <si>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</si>
  <si>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</si>
  <si>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</si>
  <si>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</si>
  <si>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</si>
  <si>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</si>
  <si>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</si>
  <si>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</si>
  <si>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</si>
  <si>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</si>
  <si>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</si>
  <si>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</si>
  <si>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</si>
  <si>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</si>
  <si>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</si>
  <si>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</si>
  <si>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</si>
  <si>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</si>
  <si>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</si>
  <si>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</si>
  <si>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</si>
  <si>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</si>
  <si>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</si>
  <si>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</si>
  <si>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</si>
  <si>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</si>
  <si>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</si>
  <si>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</si>
  <si>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</si>
  <si>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</si>
  <si>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FD</t>
  </si>
  <si>
    <t>TY</t>
  </si>
  <si>
    <t>GM</t>
  </si>
  <si>
    <t>Chrysler</t>
  </si>
  <si>
    <t>Hyundai</t>
  </si>
  <si>
    <t>Honda</t>
  </si>
  <si>
    <t>Ford</t>
  </si>
  <si>
    <t>Toyota</t>
  </si>
  <si>
    <t>General Motors</t>
  </si>
  <si>
    <t>CAM</t>
  </si>
  <si>
    <t>Camry</t>
  </si>
  <si>
    <t>PTC</t>
  </si>
  <si>
    <t>PT Cruiser</t>
  </si>
  <si>
    <t>ELA</t>
  </si>
  <si>
    <t>Elantra</t>
  </si>
  <si>
    <t>CMR</t>
  </si>
  <si>
    <t>Camaro</t>
  </si>
  <si>
    <t>COR</t>
  </si>
  <si>
    <t>Corolla</t>
  </si>
  <si>
    <t>FCS</t>
  </si>
  <si>
    <t>Focus</t>
  </si>
  <si>
    <t>CIV</t>
  </si>
  <si>
    <t>Civic</t>
  </si>
  <si>
    <t>ODY</t>
  </si>
  <si>
    <t>Odyssey</t>
  </si>
  <si>
    <t>MTG</t>
  </si>
  <si>
    <t>Mustang</t>
  </si>
  <si>
    <t>SLV</t>
  </si>
  <si>
    <t>Silverado</t>
  </si>
  <si>
    <t>CAR</t>
  </si>
  <si>
    <t>Caravan</t>
  </si>
  <si>
    <t>HO01ODY040</t>
  </si>
  <si>
    <t>FD06FCS006</t>
  </si>
  <si>
    <t>GM09CMR014</t>
  </si>
  <si>
    <t>HO05ODY037</t>
  </si>
  <si>
    <t>Sum of Miles</t>
  </si>
  <si>
    <t>Principal</t>
  </si>
  <si>
    <t>Interest rate</t>
  </si>
  <si>
    <t>Months</t>
  </si>
  <si>
    <t>Interest Paid</t>
  </si>
  <si>
    <t>Total Loan</t>
  </si>
  <si>
    <t>Monthly Payment</t>
  </si>
  <si>
    <t>Loan A</t>
  </si>
  <si>
    <t>Loan B</t>
  </si>
  <si>
    <t>Loan C</t>
  </si>
  <si>
    <t>Loan D</t>
  </si>
  <si>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</si>
  <si>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</si>
  <si>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</si>
  <si>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</si>
  <si>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</si>
  <si>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</si>
  <si>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</si>
  <si>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</si>
  <si>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</si>
  <si>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</si>
  <si>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</si>
  <si>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</si>
  <si>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</si>
  <si>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</si>
  <si>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</si>
  <si>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</si>
  <si>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</si>
  <si>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</si>
  <si>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</si>
  <si>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Tim</t>
  </si>
  <si>
    <t>Susan's Total</t>
  </si>
  <si>
    <t>Tim's Total</t>
  </si>
  <si>
    <t>Cost</t>
  </si>
  <si>
    <t>Adoption Cost</t>
  </si>
  <si>
    <t>Cost Category</t>
  </si>
  <si>
    <t>Cost for Cat</t>
  </si>
  <si>
    <t>Cost for Dog</t>
  </si>
  <si>
    <t>Collar</t>
  </si>
  <si>
    <t>Food and Water Bowl</t>
  </si>
  <si>
    <t>Leash</t>
  </si>
  <si>
    <t xml:space="preserve">Food </t>
  </si>
  <si>
    <t>Dog Treats</t>
  </si>
  <si>
    <t>Kitty Litter</t>
  </si>
  <si>
    <t>ID Tag</t>
  </si>
  <si>
    <t>Monthly Cost for Cat</t>
  </si>
  <si>
    <t>Monthly Cost for Dog</t>
  </si>
  <si>
    <t>Monthly Total</t>
  </si>
  <si>
    <t>First Year Cost of Cat</t>
  </si>
  <si>
    <t>First Year Cost of Dog</t>
  </si>
  <si>
    <t>5N and 4D</t>
  </si>
  <si>
    <t>Carribean Cruise</t>
  </si>
  <si>
    <t>Meals</t>
  </si>
  <si>
    <t>Chicago Museum Tour</t>
  </si>
  <si>
    <t xml:space="preserve">Entertainment </t>
  </si>
  <si>
    <t>Natural History</t>
  </si>
  <si>
    <t>Chicago Museum of Art</t>
  </si>
  <si>
    <t>Science Museum</t>
  </si>
  <si>
    <t>Car Rental / day</t>
  </si>
  <si>
    <t>Hotel / night</t>
  </si>
  <si>
    <t>Food / day / person</t>
  </si>
  <si>
    <t>Days / Nights</t>
  </si>
  <si>
    <t>Total (excl car, food, hotel)</t>
  </si>
  <si>
    <t>Final Total</t>
  </si>
  <si>
    <t>Orlando Theme Parks</t>
  </si>
  <si>
    <t>Disneyland</t>
  </si>
  <si>
    <t>Universal Studios</t>
  </si>
  <si>
    <t>Sea World</t>
  </si>
  <si>
    <t>Busch Gardens</t>
  </si>
  <si>
    <t>Hotel / Night</t>
  </si>
  <si>
    <t>Total (car, food, hotel)</t>
  </si>
  <si>
    <t>Place</t>
  </si>
  <si>
    <t>Chicago</t>
  </si>
  <si>
    <t>Carribean</t>
  </si>
  <si>
    <t>Orlando</t>
  </si>
  <si>
    <t>Car Rental / Day</t>
  </si>
  <si>
    <t>Museum of Broadcast History</t>
  </si>
  <si>
    <t>Printer Confusion</t>
  </si>
  <si>
    <t>15 pages/day 5 days a week &amp; Printer must last 2 yrs</t>
  </si>
  <si>
    <t>500 pages/day 5 days a week &amp; Printer must last 2 yrs</t>
  </si>
  <si>
    <t>Printer</t>
  </si>
  <si>
    <t>Initial Cost</t>
  </si>
  <si>
    <t>Catridge Cost</t>
  </si>
  <si>
    <t>Pages / Cartidge</t>
  </si>
  <si>
    <t>TCO Susan</t>
  </si>
  <si>
    <t>TCO Tim</t>
  </si>
  <si>
    <t>Total Catridge Cost (Susan)</t>
  </si>
  <si>
    <t>Pages required (Susan)</t>
  </si>
  <si>
    <t>Pages required (Tim)</t>
  </si>
  <si>
    <t>Total Catridge Cost (Tim)</t>
  </si>
  <si>
    <t>Epsilon</t>
  </si>
  <si>
    <t>Zero</t>
  </si>
  <si>
    <t>Heavy Package</t>
  </si>
  <si>
    <t>Cell Phone Bill</t>
  </si>
  <si>
    <t>3 GB per month, 2 years, contract OK</t>
  </si>
  <si>
    <t>1 GB per month, 2 years, contract OK</t>
  </si>
  <si>
    <t>Company Plan</t>
  </si>
  <si>
    <t>X-Mobile</t>
  </si>
  <si>
    <t>Veritium</t>
  </si>
  <si>
    <t>ABC</t>
  </si>
  <si>
    <t>Susan Total Cost</t>
  </si>
  <si>
    <t>Tim Total Cost</t>
  </si>
  <si>
    <t>Data (Susan)</t>
  </si>
  <si>
    <t>Data (Tim)</t>
  </si>
  <si>
    <t>Cost of Extra Data / GB / mo</t>
  </si>
  <si>
    <t>Phone Purchase / mo</t>
  </si>
  <si>
    <t>Taxes and Fees / mo</t>
  </si>
  <si>
    <t>Cost / mo</t>
  </si>
  <si>
    <t>Mo</t>
  </si>
  <si>
    <t>Data / mo</t>
  </si>
  <si>
    <t>Base Cost / mo</t>
  </si>
  <si>
    <t>Three Cars</t>
  </si>
  <si>
    <t>250,000 miles; 30,000 miles per year; no loan</t>
  </si>
  <si>
    <t>250,000 miles; 30,000 miles per year; 40% extra price due to loan</t>
  </si>
  <si>
    <t>Car</t>
  </si>
  <si>
    <t>MPG</t>
  </si>
  <si>
    <t>Total Miles</t>
  </si>
  <si>
    <t>Total Gasoline Cost</t>
  </si>
  <si>
    <t>Insurance / Yr</t>
  </si>
  <si>
    <t>License / Yr</t>
  </si>
  <si>
    <t xml:space="preserve">Tax </t>
  </si>
  <si>
    <t>Miles / Yr</t>
  </si>
  <si>
    <t>Gasoline Cost / Yr</t>
  </si>
  <si>
    <t>TCO (Susan)</t>
  </si>
  <si>
    <t>TCO (Tim)</t>
  </si>
  <si>
    <t>Ford Mustang</t>
  </si>
  <si>
    <t>Chevy Spark</t>
  </si>
  <si>
    <t>Cadillac Escalade</t>
  </si>
  <si>
    <t>Gasoline Price</t>
  </si>
  <si>
    <t>Years</t>
  </si>
  <si>
    <t>Gasoline Required</t>
  </si>
  <si>
    <t>Susan And Hub</t>
  </si>
  <si>
    <t>Tim and Wife and 1 kid</t>
  </si>
  <si>
    <t>Tim Total</t>
  </si>
  <si>
    <t>Vacation Cost Susan</t>
  </si>
  <si>
    <t>Vacation Cost Tim</t>
  </si>
  <si>
    <t>Air Fare Total</t>
  </si>
  <si>
    <t>Air Fare / person</t>
  </si>
  <si>
    <t>Cost per person</t>
  </si>
  <si>
    <t>Units</t>
  </si>
  <si>
    <t>Other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</si>
</sst>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6" formatCode="0.0"/>
    <numFmt numFmtId="170" formatCode="_(* #,##0_);_(* \(#,##0\);_(* &quot;-&quot;??_);_(@_)"/>
    <numFmt numFmtId="172" formatCode="_-&quot;$&quot;* #,##0.00_-;\-&quot;$&quot;* #,##0.00_-;_-&quot;$&quot;* &quot;-&quot;??_-;_-@_-"/>
    <numFmt numFmtId="173" formatCode="_-* #,##0.00_-;\-* #,##0.00_-;_-* &quot;-&quot;??_-;_-@_-"/>
    <numFmt numFmtId="174" formatCode="_-* #,##0_-;\-* #,##0_-;_-* &quot;-&quot;??_-;_-@_-"/>
    <numFmt numFmtId="179" formatCode="_-[$$-409]* #,##0.000_ ;_-[$$-409]* \-#,##0.000\ ;_-[$$-409]* &quot;-&quot;??_ ;_-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0" borderId="0"/>
  </cellStyleXfs>
  <cellXfs count="6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164" fontId="0" fillId="2" borderId="0" xfId="0" applyNumberFormat="1" applyFill="1"/>
    <xf numFmtId="16" fontId="0" fillId="3" borderId="0" xfId="0" applyNumberFormat="1" applyFill="1"/>
    <xf numFmtId="164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textRotation="90"/>
    </xf>
    <xf numFmtId="9" fontId="0" fillId="0" borderId="0" xfId="3" applyFont="1"/>
    <xf numFmtId="166" fontId="0" fillId="0" borderId="0" xfId="0" applyNumberFormat="1"/>
    <xf numFmtId="0" fontId="0" fillId="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3" fontId="0" fillId="0" borderId="0" xfId="2" applyFont="1"/>
    <xf numFmtId="43" fontId="0" fillId="0" borderId="0" xfId="2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4" fontId="3" fillId="0" borderId="0" xfId="1" applyNumberFormat="1" applyFont="1"/>
    <xf numFmtId="49" fontId="3" fillId="0" borderId="0" xfId="4" applyNumberFormat="1"/>
    <xf numFmtId="164" fontId="3" fillId="0" borderId="0" xfId="4" applyNumberFormat="1" applyAlignment="1">
      <alignment wrapText="1"/>
    </xf>
    <xf numFmtId="0" fontId="3" fillId="0" borderId="0" xfId="4" applyAlignment="1">
      <alignment wrapText="1"/>
    </xf>
    <xf numFmtId="164" fontId="3" fillId="0" borderId="0" xfId="4" applyNumberFormat="1"/>
    <xf numFmtId="21" fontId="2" fillId="0" borderId="0" xfId="0" applyNumberFormat="1" applyFont="1"/>
    <xf numFmtId="0" fontId="3" fillId="0" borderId="0" xfId="4"/>
    <xf numFmtId="14" fontId="3" fillId="0" borderId="0" xfId="5" applyNumberFormat="1" applyFont="1"/>
    <xf numFmtId="170" fontId="3" fillId="0" borderId="0" xfId="5" applyNumberFormat="1" applyFont="1"/>
    <xf numFmtId="164" fontId="5" fillId="10" borderId="0" xfId="0" applyNumberFormat="1" applyFont="1" applyFill="1"/>
    <xf numFmtId="164" fontId="0" fillId="12" borderId="0" xfId="0" applyNumberFormat="1" applyFill="1"/>
    <xf numFmtId="0" fontId="5" fillId="0" borderId="0" xfId="0" applyFont="1" applyFill="1" applyAlignment="1">
      <alignment horizontal="center"/>
    </xf>
    <xf numFmtId="179" fontId="0" fillId="0" borderId="0" xfId="0" applyNumberFormat="1"/>
    <xf numFmtId="164" fontId="0" fillId="10" borderId="0" xfId="0" applyNumberFormat="1" applyFill="1"/>
    <xf numFmtId="164" fontId="0" fillId="12" borderId="0" xfId="1" applyNumberFormat="1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21" fontId="0" fillId="10" borderId="0" xfId="0" applyNumberFormat="1" applyFont="1" applyFill="1"/>
    <xf numFmtId="0" fontId="0" fillId="10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164" fontId="4" fillId="0" borderId="0" xfId="8" applyNumberFormat="1"/>
    <xf numFmtId="0" fontId="4" fillId="0" borderId="0" xfId="8"/>
    <xf numFmtId="0" fontId="4" fillId="0" borderId="0" xfId="8"/>
    <xf numFmtId="174" fontId="4" fillId="0" borderId="0" xfId="7" applyNumberFormat="1" applyFont="1"/>
    <xf numFmtId="0" fontId="4" fillId="0" borderId="0" xfId="8"/>
    <xf numFmtId="174" fontId="4" fillId="0" borderId="0" xfId="7" applyNumberFormat="1" applyFont="1"/>
  </cellXfs>
  <cellStyles count="9">
    <cellStyle name="Comma" xfId="2" builtinId="3"/>
    <cellStyle name="Comma 2" xfId="5" xr:uid="{EED69BA1-6B0E-49FF-BB01-179277DF8677}"/>
    <cellStyle name="Comma 3" xfId="7" xr:uid="{015D3390-8693-45C8-AE75-E71A172AADE4}"/>
    <cellStyle name="Currency" xfId="1" builtinId="4"/>
    <cellStyle name="Currency 2" xfId="6" xr:uid="{2F09A946-A520-4B36-BE51-E64BE2EE6457}"/>
    <cellStyle name="Normal" xfId="0" builtinId="0"/>
    <cellStyle name="Normal 2" xfId="4" xr:uid="{EB4B2D5E-1C43-41EA-91C0-B7125D3F3B1F}"/>
    <cellStyle name="Normal 3" xfId="8" xr:uid="{08024B22-8C95-441E-89F9-C27B96015840}"/>
    <cellStyle name="Percent" xfId="3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Alonso</c:v>
                </c:pt>
                <c:pt idx="2">
                  <c:v>Vettel</c:v>
                </c:pt>
                <c:pt idx="3">
                  <c:v>Hamilton</c:v>
                </c:pt>
                <c:pt idx="4">
                  <c:v>Piastri</c:v>
                </c:pt>
                <c:pt idx="5">
                  <c:v>Russell</c:v>
                </c:pt>
                <c:pt idx="6">
                  <c:v>Verstappen</c:v>
                </c:pt>
                <c:pt idx="7">
                  <c:v>Perez</c:v>
                </c:pt>
                <c:pt idx="8">
                  <c:v>Mazepin</c:v>
                </c:pt>
                <c:pt idx="9">
                  <c:v>Zhou</c:v>
                </c:pt>
                <c:pt idx="10">
                  <c:v>Kohli</c:v>
                </c:pt>
                <c:pt idx="11">
                  <c:v>Norris</c:v>
                </c:pt>
                <c:pt idx="12">
                  <c:v>Boult</c:v>
                </c:pt>
                <c:pt idx="13">
                  <c:v>Ascari</c:v>
                </c:pt>
                <c:pt idx="14">
                  <c:v>Momento</c:v>
                </c:pt>
                <c:pt idx="15">
                  <c:v>Naem</c:v>
                </c:pt>
                <c:pt idx="16">
                  <c:v>Whilelearnin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C-41AC-8BDB-B355E73C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287120"/>
        <c:axId val="1621287600"/>
      </c:barChart>
      <c:catAx>
        <c:axId val="16212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87600"/>
        <c:crosses val="autoZero"/>
        <c:auto val="1"/>
        <c:lblAlgn val="ctr"/>
        <c:lblOffset val="100"/>
        <c:noMultiLvlLbl val="0"/>
      </c:catAx>
      <c:valAx>
        <c:axId val="16212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4'!$B$21</c:f>
              <c:strCache>
                <c:ptCount val="1"/>
                <c:pt idx="0">
                  <c:v>Vacation Cost Tim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4'!$A$22:$A$24</c:f>
              <c:strCache>
                <c:ptCount val="3"/>
                <c:pt idx="0">
                  <c:v>Chicago</c:v>
                </c:pt>
                <c:pt idx="1">
                  <c:v>Carribean</c:v>
                </c:pt>
                <c:pt idx="2">
                  <c:v>Orlando</c:v>
                </c:pt>
              </c:strCache>
            </c:strRef>
          </c:cat>
          <c:val>
            <c:numRef>
              <c:f>'Problem 4'!$B$22:$B$24</c:f>
              <c:numCache>
                <c:formatCode>_-[$$-409]* #,##0.00_ ;_-[$$-409]* \-#,##0.00\ ;_-[$$-409]* "-"??_ ;_-@_ </c:formatCode>
                <c:ptCount val="3"/>
                <c:pt idx="0">
                  <c:v>2700</c:v>
                </c:pt>
                <c:pt idx="1">
                  <c:v>2267</c:v>
                </c:pt>
                <c:pt idx="2">
                  <c:v>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2-4E47-937A-14CBAB25B1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952160"/>
        <c:axId val="122953120"/>
      </c:barChart>
      <c:catAx>
        <c:axId val="1229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3120"/>
        <c:crosses val="autoZero"/>
        <c:auto val="1"/>
        <c:lblAlgn val="ctr"/>
        <c:lblOffset val="100"/>
        <c:noMultiLvlLbl val="0"/>
      </c:catAx>
      <c:valAx>
        <c:axId val="1229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5'!$G$5</c:f>
              <c:strCache>
                <c:ptCount val="1"/>
                <c:pt idx="0">
                  <c:v>TCO Susan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5'!$A$6:$A$8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'Problem 5'!$G$6:$G$8</c:f>
              <c:numCache>
                <c:formatCode>_-[$$-409]* #,##0.00_ ;_-[$$-409]* \-#,##0.00\ ;_-[$$-409]* "-"??_ ;_-@_ </c:formatCode>
                <c:ptCount val="3"/>
                <c:pt idx="0">
                  <c:v>1589</c:v>
                </c:pt>
                <c:pt idx="1">
                  <c:v>919</c:v>
                </c:pt>
                <c:pt idx="2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0-45E7-A5E5-6C00CE9FD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3744752"/>
        <c:axId val="1386051648"/>
      </c:barChart>
      <c:catAx>
        <c:axId val="16737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51648"/>
        <c:crosses val="autoZero"/>
        <c:auto val="1"/>
        <c:lblAlgn val="ctr"/>
        <c:lblOffset val="100"/>
        <c:noMultiLvlLbl val="0"/>
      </c:catAx>
      <c:valAx>
        <c:axId val="1386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5'!$J$5</c:f>
              <c:strCache>
                <c:ptCount val="1"/>
                <c:pt idx="0">
                  <c:v>TCO Tim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5'!$A$6:$A$8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'Problem 5'!$J$6:$J$8</c:f>
              <c:numCache>
                <c:formatCode>_-[$$-409]* #,##0.00_ ;_-[$$-409]* \-#,##0.00\ ;_-[$$-409]* "-"??_ ;_-@_ </c:formatCode>
                <c:ptCount val="3"/>
                <c:pt idx="0">
                  <c:v>52029</c:v>
                </c:pt>
                <c:pt idx="1">
                  <c:v>9429</c:v>
                </c:pt>
                <c:pt idx="2">
                  <c:v>23549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F-4249-9B06-A8556178C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21200"/>
        <c:axId val="39509680"/>
      </c:barChart>
      <c:catAx>
        <c:axId val="395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9680"/>
        <c:crosses val="autoZero"/>
        <c:auto val="1"/>
        <c:lblAlgn val="ctr"/>
        <c:lblOffset val="100"/>
        <c:noMultiLvlLbl val="0"/>
      </c:catAx>
      <c:valAx>
        <c:axId val="395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6'!$K$5</c:f>
              <c:strCache>
                <c:ptCount val="1"/>
                <c:pt idx="0">
                  <c:v>Susan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6'!$A$6:$A$8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'Problem 6'!$K$6:$K$8</c:f>
              <c:numCache>
                <c:formatCode>_-[$$-409]* #,##0.00_ ;_-[$$-409]* \-#,##0.00\ ;_-[$$-409]* "-"??_ ;_-@_ 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9-4A03-BCCC-6AAF6FA6BC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32720"/>
        <c:axId val="39513520"/>
      </c:barChart>
      <c:catAx>
        <c:axId val="395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520"/>
        <c:crosses val="autoZero"/>
        <c:auto val="1"/>
        <c:lblAlgn val="ctr"/>
        <c:lblOffset val="100"/>
        <c:noMultiLvlLbl val="0"/>
      </c:catAx>
      <c:valAx>
        <c:axId val="395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6'!$M$5</c:f>
              <c:strCache>
                <c:ptCount val="1"/>
                <c:pt idx="0">
                  <c:v>Tim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6'!$A$6:$A$8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'Problem 6'!$M$6:$M$8</c:f>
              <c:numCache>
                <c:formatCode>_-[$$-409]* #,##0.00_ ;_-[$$-409]* \-#,##0.00\ ;_-[$$-409]* "-"??_ ;_-@_ 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3-4BDD-9FD2-98A8BEA4A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33680"/>
        <c:axId val="39512080"/>
      </c:barChart>
      <c:catAx>
        <c:axId val="395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080"/>
        <c:crosses val="autoZero"/>
        <c:auto val="1"/>
        <c:lblAlgn val="ctr"/>
        <c:lblOffset val="100"/>
        <c:noMultiLvlLbl val="0"/>
      </c:catAx>
      <c:valAx>
        <c:axId val="39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7'!$N$5</c:f>
              <c:strCache>
                <c:ptCount val="1"/>
                <c:pt idx="0">
                  <c:v>TCO (Susan)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7'!$A$6:$A$8</c:f>
              <c:strCache>
                <c:ptCount val="3"/>
                <c:pt idx="0">
                  <c:v>Ford Mustang</c:v>
                </c:pt>
                <c:pt idx="1">
                  <c:v>Chevy Spark</c:v>
                </c:pt>
                <c:pt idx="2">
                  <c:v>Cadillac Escalade</c:v>
                </c:pt>
              </c:strCache>
            </c:strRef>
          </c:cat>
          <c:val>
            <c:numRef>
              <c:f>'Problem 7'!$N$6:$N$8</c:f>
              <c:numCache>
                <c:formatCode>_-[$$-409]* #,##0.00_ ;_-[$$-409]* \-#,##0.00\ ;_-[$$-409]* "-"??_ ;_-@_ </c:formatCode>
                <c:ptCount val="3"/>
                <c:pt idx="0">
                  <c:v>107157.01754385965</c:v>
                </c:pt>
                <c:pt idx="1">
                  <c:v>57192.857142857145</c:v>
                </c:pt>
                <c:pt idx="2">
                  <c:v>164356.86274509804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9-4F56-AE97-1831B75F0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0454560"/>
        <c:axId val="1630476640"/>
      </c:barChart>
      <c:catAx>
        <c:axId val="16304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6640"/>
        <c:crosses val="autoZero"/>
        <c:auto val="1"/>
        <c:lblAlgn val="ctr"/>
        <c:lblOffset val="100"/>
        <c:noMultiLvlLbl val="0"/>
      </c:catAx>
      <c:valAx>
        <c:axId val="1630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7'!$O$5</c:f>
              <c:strCache>
                <c:ptCount val="1"/>
                <c:pt idx="0">
                  <c:v>TCO (Tim)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7'!$A$6:$A$8</c:f>
              <c:strCache>
                <c:ptCount val="3"/>
                <c:pt idx="0">
                  <c:v>Ford Mustang</c:v>
                </c:pt>
                <c:pt idx="1">
                  <c:v>Chevy Spark</c:v>
                </c:pt>
                <c:pt idx="2">
                  <c:v>Cadillac Escalade</c:v>
                </c:pt>
              </c:strCache>
            </c:strRef>
          </c:cat>
          <c:val>
            <c:numRef>
              <c:f>'Problem 7'!$O$6:$O$8</c:f>
              <c:numCache>
                <c:formatCode>_-[$$-409]* #,##0.00_ ;_-[$$-409]* \-#,##0.00\ ;_-[$$-409]* "-"??_ ;_-@_ </c:formatCode>
                <c:ptCount val="3"/>
                <c:pt idx="0">
                  <c:v>150019.82456140351</c:v>
                </c:pt>
                <c:pt idx="1">
                  <c:v>80070</c:v>
                </c:pt>
                <c:pt idx="2">
                  <c:v>230099.60784313723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2-4588-87EC-8DFE8460C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0429184"/>
        <c:axId val="1380433024"/>
      </c:barChart>
      <c:catAx>
        <c:axId val="13804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33024"/>
        <c:crosses val="autoZero"/>
        <c:auto val="1"/>
        <c:lblAlgn val="ctr"/>
        <c:lblOffset val="100"/>
        <c:noMultiLvlLbl val="0"/>
      </c:catAx>
      <c:valAx>
        <c:axId val="13804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2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[Learning.xlsx]Pivot Table &amp; Chart!PivotTable1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&amp;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Chart'!$A$4:$A$8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 &amp; Chart'!$B$4:$B$8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8DA-BCA5-96EA12D1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[Learning.xlsx]Car Inventory 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 Pivot'!$A$4:$A$21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 Pivot'!$B$4:$B$21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6-4BC0-BA50-8D16FD32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004224"/>
        <c:axId val="1675997984"/>
      </c:barChart>
      <c:catAx>
        <c:axId val="16760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97984"/>
        <c:crosses val="autoZero"/>
        <c:auto val="1"/>
        <c:lblAlgn val="ctr"/>
        <c:lblOffset val="100"/>
        <c:noMultiLvlLbl val="0"/>
      </c:catAx>
      <c:valAx>
        <c:axId val="16759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Inventory'!$G$2:$G$69</c:f>
              <c:numCache>
                <c:formatCode>General</c:formatCode>
                <c:ptCount val="68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20</c:v>
                </c:pt>
                <c:pt idx="8">
                  <c:v>24</c:v>
                </c:pt>
                <c:pt idx="9">
                  <c:v>15</c:v>
                </c:pt>
                <c:pt idx="10">
                  <c:v>26</c:v>
                </c:pt>
                <c:pt idx="11">
                  <c:v>19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17</c:v>
                </c:pt>
                <c:pt idx="16">
                  <c:v>23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  <c:pt idx="25">
                  <c:v>18</c:v>
                </c:pt>
                <c:pt idx="26">
                  <c:v>17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Inventory'!$H$2:$H$69</c:f>
              <c:numCache>
                <c:formatCode>_(* #,##0.00_);_(* \(#,##0.00\);_(* "-"??_);_(@_)</c:formatCode>
                <c:ptCount val="68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64542</c:v>
                </c:pt>
                <c:pt idx="8">
                  <c:v>77243.100000000006</c:v>
                </c:pt>
                <c:pt idx="9">
                  <c:v>48114.2</c:v>
                </c:pt>
                <c:pt idx="10">
                  <c:v>83162.7</c:v>
                </c:pt>
                <c:pt idx="11">
                  <c:v>60389.5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44974.8</c:v>
                </c:pt>
                <c:pt idx="26">
                  <c:v>42074.2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37558.800000000003</c:v>
                </c:pt>
                <c:pt idx="31">
                  <c:v>35137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22573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B-4CDD-8A1B-D023CDF5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9984"/>
        <c:axId val="1676001344"/>
      </c:scatterChart>
      <c:valAx>
        <c:axId val="16760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344"/>
        <c:crosses val="autoZero"/>
        <c:crossBetween val="midCat"/>
      </c:valAx>
      <c:valAx>
        <c:axId val="16760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Payments for 10k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1'!$A$2:$A$5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'Problem 1'!$G$2:$G$5</c:f>
              <c:numCache>
                <c:formatCode>_-[$$-409]* #,##0.00_ ;_-[$$-409]* \-#,##0.00\ ;_-[$$-409]* "-"??_ ;_-@_ </c:formatCode>
                <c:ptCount val="4"/>
                <c:pt idx="0">
                  <c:v>908.33333333333337</c:v>
                </c:pt>
                <c:pt idx="1">
                  <c:v>883.33333333333337</c:v>
                </c:pt>
                <c:pt idx="2">
                  <c:v>900</c:v>
                </c:pt>
                <c:pt idx="3">
                  <c:v>891.66666666666663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8-4512-B30F-BF6B9A03A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750032"/>
        <c:axId val="1673751472"/>
      </c:barChart>
      <c:catAx>
        <c:axId val="16737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51472"/>
        <c:crosses val="autoZero"/>
        <c:auto val="1"/>
        <c:lblAlgn val="ctr"/>
        <c:lblOffset val="100"/>
        <c:noMultiLvlLbl val="0"/>
      </c:catAx>
      <c:valAx>
        <c:axId val="1673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2'!$G$1:$I$1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2'!$G$17:$I$17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7-411A-90D9-474124F9C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3743312"/>
        <c:axId val="1673747152"/>
      </c:barChart>
      <c:catAx>
        <c:axId val="1673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47152"/>
        <c:crosses val="autoZero"/>
        <c:auto val="1"/>
        <c:lblAlgn val="ctr"/>
        <c:lblOffset val="100"/>
        <c:noMultiLvlLbl val="0"/>
      </c:catAx>
      <c:valAx>
        <c:axId val="16737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2'!$L$1:$N$1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2'!$L$17:$N$17</c:f>
              <c:numCache>
                <c:formatCode>_-[$$-409]* #,##0.00_ ;_-[$$-409]* \-#,##0.00\ ;_-[$$-409]* "-"??_ ;_-@_ 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3-4442-BA58-F8096E57BE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3060192"/>
        <c:axId val="1353060672"/>
      </c:barChart>
      <c:catAx>
        <c:axId val="13530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60672"/>
        <c:crosses val="autoZero"/>
        <c:auto val="1"/>
        <c:lblAlgn val="ctr"/>
        <c:lblOffset val="100"/>
        <c:noMultiLvlLbl val="0"/>
      </c:catAx>
      <c:valAx>
        <c:axId val="13530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 Year 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3'!$A$12:$A$13</c:f>
              <c:strCache>
                <c:ptCount val="2"/>
                <c:pt idx="0">
                  <c:v>First Year Cost of Cat</c:v>
                </c:pt>
                <c:pt idx="1">
                  <c:v>First Year Cost of Dog</c:v>
                </c:pt>
              </c:strCache>
            </c:strRef>
          </c:cat>
          <c:val>
            <c:numRef>
              <c:f>'Problem 3'!$B$12:$B$13</c:f>
              <c:numCache>
                <c:formatCode>_-[$$-409]* #,##0.00_ ;_-[$$-409]* \-#,##0.00\ ;_-[$$-409]* "-"??_ ;_-@_ 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8-421C-BF00-112A26A7B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0469920"/>
        <c:axId val="1630478080"/>
      </c:barChart>
      <c:catAx>
        <c:axId val="16304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8080"/>
        <c:crosses val="autoZero"/>
        <c:auto val="1"/>
        <c:lblAlgn val="ctr"/>
        <c:lblOffset val="100"/>
        <c:noMultiLvlLbl val="0"/>
      </c:catAx>
      <c:valAx>
        <c:axId val="16304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4'!$B$16</c:f>
              <c:strCache>
                <c:ptCount val="1"/>
                <c:pt idx="0">
                  <c:v>Vacation Cost Susan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4'!$A$17:$A$19</c:f>
              <c:strCache>
                <c:ptCount val="3"/>
                <c:pt idx="0">
                  <c:v>Chicago</c:v>
                </c:pt>
                <c:pt idx="1">
                  <c:v>Carribean</c:v>
                </c:pt>
                <c:pt idx="2">
                  <c:v>Orlando</c:v>
                </c:pt>
              </c:strCache>
            </c:strRef>
          </c:cat>
          <c:val>
            <c:numRef>
              <c:f>'Problem 4'!$B$17:$B$19</c:f>
              <c:numCache>
                <c:formatCode>_-[$$-409]* #,##0.00_ ;_-[$$-409]* \-#,##0.00\ ;_-[$$-409]* "-"??_ ;_-@_ </c:formatCode>
                <c:ptCount val="3"/>
                <c:pt idx="0">
                  <c:v>1800</c:v>
                </c:pt>
                <c:pt idx="1">
                  <c:v>1787</c:v>
                </c:pt>
                <c:pt idx="2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2-498A-922C-2C57FBA829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2314496"/>
        <c:axId val="1392299616"/>
      </c:barChart>
      <c:catAx>
        <c:axId val="13923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99616"/>
        <c:crosses val="autoZero"/>
        <c:auto val="1"/>
        <c:lblAlgn val="ctr"/>
        <c:lblOffset val="100"/>
        <c:noMultiLvlLbl val="0"/>
      </c:catAx>
      <c:valAx>
        <c:axId val="13922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3</xdr:row>
      <xdr:rowOff>85724</xdr:rowOff>
    </xdr:from>
    <xdr:to>
      <xdr:col>22</xdr:col>
      <xdr:colOff>304800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CC8E3-7D64-7942-D3D5-CB6042D33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8</xdr:row>
      <xdr:rowOff>117475</xdr:rowOff>
    </xdr:from>
    <xdr:to>
      <xdr:col>6</xdr:col>
      <xdr:colOff>28575</xdr:colOff>
      <xdr:row>23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ED7AB-95F0-D434-555C-8600A79E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288925</xdr:colOff>
      <xdr:row>8</xdr:row>
      <xdr:rowOff>111125</xdr:rowOff>
    </xdr:from>
    <xdr:to>
      <xdr:col>12</xdr:col>
      <xdr:colOff>454025</xdr:colOff>
      <xdr:row>23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8E83C-B386-1FAB-6282-E4405AF96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517525</xdr:colOff>
      <xdr:row>8</xdr:row>
      <xdr:rowOff>85725</xdr:rowOff>
    </xdr:from>
    <xdr:to>
      <xdr:col>8</xdr:col>
      <xdr:colOff>34925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4A66A-7356-34FB-E3AC-5CA9259A3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8</xdr:row>
      <xdr:rowOff>92075</xdr:rowOff>
    </xdr:from>
    <xdr:to>
      <xdr:col>13</xdr:col>
      <xdr:colOff>930275</xdr:colOff>
      <xdr:row>23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73054-1AE7-B3B1-4F9F-A068B2EA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</xdr:row>
      <xdr:rowOff>22225</xdr:rowOff>
    </xdr:from>
    <xdr:to>
      <xdr:col>10</xdr:col>
      <xdr:colOff>584200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B35F5-D199-FB98-E26E-E28B2E316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60325</xdr:rowOff>
    </xdr:from>
    <xdr:to>
      <xdr:col>10</xdr:col>
      <xdr:colOff>552450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72215-F982-E3EE-81EB-1D0A115CC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92075</xdr:colOff>
      <xdr:row>2</xdr:row>
      <xdr:rowOff>66675</xdr:rowOff>
    </xdr:from>
    <xdr:to>
      <xdr:col>21</xdr:col>
      <xdr:colOff>396875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235D3-69B3-5AD7-87B7-B4F64DDBD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174625</xdr:rowOff>
    </xdr:from>
    <xdr:to>
      <xdr:col>10</xdr:col>
      <xdr:colOff>434975</xdr:colOff>
      <xdr:row>20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9514-2735-7F0C-23F5-2A8DB8C80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</xdr:colOff>
      <xdr:row>17</xdr:row>
      <xdr:rowOff>111125</xdr:rowOff>
    </xdr:from>
    <xdr:to>
      <xdr:col>8</xdr:col>
      <xdr:colOff>225425</xdr:colOff>
      <xdr:row>32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B3CBC-C05B-FE40-89D3-59901C4AC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17</xdr:row>
      <xdr:rowOff>117475</xdr:rowOff>
    </xdr:from>
    <xdr:to>
      <xdr:col>15</xdr:col>
      <xdr:colOff>3175</xdr:colOff>
      <xdr:row>32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9432E-2132-56FA-C45A-07347042A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2</xdr:row>
      <xdr:rowOff>9525</xdr:rowOff>
    </xdr:from>
    <xdr:to>
      <xdr:col>13</xdr:col>
      <xdr:colOff>149225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5838D-9E7C-825A-AB16-1A9EDF38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1273175</xdr:colOff>
      <xdr:row>15</xdr:row>
      <xdr:rowOff>174625</xdr:rowOff>
    </xdr:from>
    <xdr:to>
      <xdr:col>9</xdr:col>
      <xdr:colOff>295275</xdr:colOff>
      <xdr:row>30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58F4C-CF6F-7B0D-E383-4EA009F35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1044575</xdr:colOff>
      <xdr:row>25</xdr:row>
      <xdr:rowOff>60325</xdr:rowOff>
    </xdr:from>
    <xdr:to>
      <xdr:col>4</xdr:col>
      <xdr:colOff>663575</xdr:colOff>
      <xdr:row>40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6BAA6-96CB-A09C-AB25-A0238F4A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555625</xdr:colOff>
      <xdr:row>8</xdr:row>
      <xdr:rowOff>98425</xdr:rowOff>
    </xdr:from>
    <xdr:to>
      <xdr:col>4</xdr:col>
      <xdr:colOff>1374775</xdr:colOff>
      <xdr:row>23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41FEF-23A6-A39E-4674-787C10E82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327025</xdr:colOff>
      <xdr:row>8</xdr:row>
      <xdr:rowOff>92075</xdr:rowOff>
    </xdr:from>
    <xdr:to>
      <xdr:col>8</xdr:col>
      <xdr:colOff>892175</xdr:colOff>
      <xdr:row>23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C55CB-C7AF-1252-56F1-F97BA2E5D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12.64345625" createdVersion="8" refreshedVersion="8" minRefreshableVersion="3" recordCount="171" xr:uid="{67AB6EEE-C362-4B3C-8BCF-89DFC2F4C500}">
  <cacheSource type="worksheet">
    <worksheetSource ref="A1:K172" sheet="Sales Database"/>
  </cacheSource>
  <cacheFields count="11">
    <cacheField name="Month" numFmtId="14">
      <sharedItems/>
    </cacheField>
    <cacheField name="Transaction Number" numFmtId="170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for items less than $50, else 20%" numFmtId="164">
      <sharedItems containsSemiMixedTypes="0" containsString="0" containsNumber="1" minValue="0.29999999999999993" maxValue="31.6"/>
    </cacheField>
    <cacheField name="First Name" numFmtId="49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12.674210763886" createdVersion="8" refreshedVersion="8" minRefreshableVersion="3" recordCount="52" xr:uid="{6B0F58EF-5309-4DE7-AA8B-A36859C9DFC3}">
  <cacheSource type="worksheet">
    <worksheetSource ref="B1:N53" sheet="Car Inventory"/>
  </cacheSource>
  <cacheFields count="13"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43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"/>
    <s v="Ford"/>
    <s v="MTG"/>
    <s v="Mustang"/>
    <s v="06"/>
    <n v="18"/>
    <n v="40326.800000000003"/>
    <n v="2240.3777777777777"/>
    <s v="Black"/>
    <x v="0"/>
    <n v="50000"/>
    <s v="Y"/>
    <s v="FD06MTGBLA001"/>
  </r>
  <r>
    <s v="FD"/>
    <s v="Ford"/>
    <s v="MTG"/>
    <s v="Mustang"/>
    <s v="06"/>
    <n v="18"/>
    <n v="44974.8"/>
    <n v="2498.6000000000004"/>
    <s v="White"/>
    <x v="1"/>
    <n v="50000"/>
    <s v="Y"/>
    <s v="FD06MTGWHI002"/>
  </r>
  <r>
    <s v="FD"/>
    <s v="Ford"/>
    <s v="MTG"/>
    <s v="Mustang"/>
    <s v="08"/>
    <n v="16"/>
    <n v="44946.5"/>
    <n v="2809.15625"/>
    <s v="Green"/>
    <x v="2"/>
    <n v="50000"/>
    <s v="Y"/>
    <s v="FD08MTGGRE003"/>
  </r>
  <r>
    <s v="FD"/>
    <s v="Ford"/>
    <s v="MTG"/>
    <s v="Mustang"/>
    <s v="08"/>
    <n v="16"/>
    <n v="37558.800000000003"/>
    <n v="2347.4250000000002"/>
    <s v="Black"/>
    <x v="3"/>
    <n v="50000"/>
    <s v="Y"/>
    <s v="FD08MTGBLA004"/>
  </r>
  <r>
    <s v="FD"/>
    <s v="Ford"/>
    <s v="MTG"/>
    <s v="Mustang"/>
    <s v="08"/>
    <n v="16"/>
    <n v="36438.5"/>
    <n v="2277.40625"/>
    <s v="White"/>
    <x v="0"/>
    <n v="50000"/>
    <s v="Y"/>
    <s v="FD08MTGWHI005"/>
  </r>
  <r>
    <s v="FD"/>
    <s v="Ford"/>
    <s v="FCS"/>
    <s v="Focus"/>
    <s v="06"/>
    <n v="18"/>
    <n v="46311.4"/>
    <n v="2572.8555555555558"/>
    <s v="Green"/>
    <x v="4"/>
    <n v="75000"/>
    <s v="Y"/>
    <s v="FD06FCSGRE006"/>
  </r>
  <r>
    <s v="FD"/>
    <s v="Ford"/>
    <s v="FCS"/>
    <s v="Focus"/>
    <s v="06"/>
    <n v="18"/>
    <n v="52229.5"/>
    <n v="2901.6388888888887"/>
    <s v="Green"/>
    <x v="2"/>
    <n v="75000"/>
    <s v="Y"/>
    <s v="FD06FCSGRE007"/>
  </r>
  <r>
    <s v="FD"/>
    <s v="Ford"/>
    <s v="FCS"/>
    <s v="Focus"/>
    <s v="09"/>
    <n v="15"/>
    <n v="35137"/>
    <n v="2342.4666666666667"/>
    <s v="Black"/>
    <x v="5"/>
    <n v="75000"/>
    <s v="Y"/>
    <s v="FD09FCSBLA008"/>
  </r>
  <r>
    <s v="FD"/>
    <s v="Ford"/>
    <s v="FCS"/>
    <s v="Focus"/>
    <s v="13"/>
    <n v="11"/>
    <n v="27637.1"/>
    <n v="2512.4636363636364"/>
    <s v="Black"/>
    <x v="0"/>
    <n v="75000"/>
    <s v="Y"/>
    <s v="FD13FCSBLA009"/>
  </r>
  <r>
    <s v="FD"/>
    <s v="Ford"/>
    <s v="FCS"/>
    <s v="Focus"/>
    <s v="13"/>
    <n v="11"/>
    <n v="27534.799999999999"/>
    <n v="2503.1636363636362"/>
    <s v="White"/>
    <x v="6"/>
    <n v="75000"/>
    <s v="Y"/>
    <s v="FD13FCSWHI010"/>
  </r>
  <r>
    <s v="FD"/>
    <s v="Ford"/>
    <s v="FCS"/>
    <s v="Focus"/>
    <s v="12"/>
    <n v="12"/>
    <n v="19341.7"/>
    <n v="1611.8083333333334"/>
    <s v="White"/>
    <x v="7"/>
    <n v="75000"/>
    <s v="Y"/>
    <s v="FD12FCSWHI011"/>
  </r>
  <r>
    <s v="FD"/>
    <s v="Ford"/>
    <s v="FCS"/>
    <s v="Focus"/>
    <s v="13"/>
    <n v="11"/>
    <n v="22521.599999999999"/>
    <n v="2047.4181818181817"/>
    <s v="Black"/>
    <x v="8"/>
    <n v="75000"/>
    <s v="Y"/>
    <s v="FD13FCSBLA012"/>
  </r>
  <r>
    <s v="FD"/>
    <s v="Ford"/>
    <s v="FCS"/>
    <s v="Focus"/>
    <s v="13"/>
    <n v="11"/>
    <n v="13682.9"/>
    <n v="1243.8999999999999"/>
    <s v="Black"/>
    <x v="9"/>
    <n v="75000"/>
    <s v="Y"/>
    <s v="FD13FCSBLA013"/>
  </r>
  <r>
    <s v="GM"/>
    <s v="General Motors"/>
    <s v="CMR"/>
    <s v="Camaro"/>
    <s v="09"/>
    <n v="15"/>
    <n v="28464.799999999999"/>
    <n v="1897.6533333333332"/>
    <s v="White"/>
    <x v="10"/>
    <n v="100000"/>
    <s v="Y"/>
    <s v="GM09CMRWHI014"/>
  </r>
  <r>
    <s v="GM"/>
    <s v="General Motors"/>
    <s v="CMR"/>
    <s v="Camaro"/>
    <s v="12"/>
    <n v="12"/>
    <n v="19421.099999999999"/>
    <n v="1618.425"/>
    <s v="Black"/>
    <x v="11"/>
    <n v="100000"/>
    <s v="Y"/>
    <s v="GM12CMRBLA015"/>
  </r>
  <r>
    <s v="GM"/>
    <s v="General Motors"/>
    <s v="CMR"/>
    <s v="Camaro"/>
    <s v="14"/>
    <n v="10"/>
    <n v="14289.6"/>
    <n v="1428.96"/>
    <s v="White"/>
    <x v="12"/>
    <n v="100000"/>
    <s v="Y"/>
    <s v="GM14CMRWHI016"/>
  </r>
  <r>
    <s v="GM"/>
    <s v="General Motors"/>
    <s v="SLV"/>
    <s v="Silverado"/>
    <s v="10"/>
    <n v="14"/>
    <n v="31144.400000000001"/>
    <n v="2224.6"/>
    <s v="Black"/>
    <x v="13"/>
    <n v="100000"/>
    <s v="Y"/>
    <s v="GM10SLVBLA017"/>
  </r>
  <r>
    <s v="GM"/>
    <s v="General Motors"/>
    <s v="SLV"/>
    <s v="Silverado"/>
    <s v="98"/>
    <n v="26"/>
    <n v="83162.7"/>
    <n v="3198.5653846153846"/>
    <s v="Black"/>
    <x v="10"/>
    <n v="100000"/>
    <s v="Y"/>
    <s v="GM98SLVBLA018"/>
  </r>
  <r>
    <s v="GM"/>
    <s v="General Motors"/>
    <s v="SLV"/>
    <s v="Silverado"/>
    <s v="00"/>
    <n v="24"/>
    <n v="80685.8"/>
    <n v="3361.9083333333333"/>
    <s v="Blue"/>
    <x v="8"/>
    <n v="100000"/>
    <s v="Y"/>
    <s v="GM00SLVBLU019"/>
  </r>
  <r>
    <s v="TY"/>
    <s v="Toyota"/>
    <s v="CAM"/>
    <s v="Camry"/>
    <s v="96"/>
    <n v="28"/>
    <n v="114660.6"/>
    <n v="4095.0214285714287"/>
    <s v="Green"/>
    <x v="14"/>
    <n v="100000"/>
    <s v="Not Covered"/>
    <s v="TY96CAMGRE020"/>
  </r>
  <r>
    <s v="TY"/>
    <s v="Toyota"/>
    <s v="CAM"/>
    <s v="Camry"/>
    <s v="98"/>
    <n v="26"/>
    <n v="93382.6"/>
    <n v="3591.6384615384618"/>
    <s v="Black"/>
    <x v="15"/>
    <n v="100000"/>
    <s v="Y"/>
    <s v="TY98CAMBLA021"/>
  </r>
  <r>
    <s v="TY"/>
    <s v="Toyota"/>
    <s v="CAM"/>
    <s v="Camry"/>
    <s v="00"/>
    <n v="24"/>
    <n v="85928"/>
    <n v="3580.3333333333335"/>
    <s v="Green"/>
    <x v="4"/>
    <n v="100000"/>
    <s v="Y"/>
    <s v="TY00CAMGRE022"/>
  </r>
  <r>
    <s v="TY"/>
    <s v="Toyota"/>
    <s v="CAM"/>
    <s v="Camry"/>
    <s v="02"/>
    <n v="22"/>
    <n v="67829.100000000006"/>
    <n v="3083.1409090909092"/>
    <s v="Black"/>
    <x v="0"/>
    <n v="100000"/>
    <s v="Y"/>
    <s v="TY02CAMBLA023"/>
  </r>
  <r>
    <s v="TY"/>
    <s v="Toyota"/>
    <s v="CAM"/>
    <s v="Camry"/>
    <s v="09"/>
    <n v="15"/>
    <n v="48114.2"/>
    <n v="3207.6133333333332"/>
    <s v="White"/>
    <x v="5"/>
    <n v="100000"/>
    <s v="Y"/>
    <s v="TY09CAMWHI024"/>
  </r>
  <r>
    <s v="TY"/>
    <s v="Toyota"/>
    <s v="COR"/>
    <s v="Corolla"/>
    <s v="02"/>
    <n v="22"/>
    <n v="64467.4"/>
    <n v="2930.3363636363638"/>
    <s v="Red"/>
    <x v="16"/>
    <n v="100000"/>
    <s v="Y"/>
    <s v="TY02CORRED025"/>
  </r>
  <r>
    <s v="TY"/>
    <s v="Toyota"/>
    <s v="COR"/>
    <s v="Corolla"/>
    <s v="03"/>
    <n v="21"/>
    <n v="73444.399999999994"/>
    <n v="3497.3523809523808"/>
    <s v="Black"/>
    <x v="16"/>
    <n v="100000"/>
    <s v="Y"/>
    <s v="TY03CORBLA026"/>
  </r>
  <r>
    <s v="TY"/>
    <s v="Toyota"/>
    <s v="COR"/>
    <s v="Corolla"/>
    <s v="14"/>
    <n v="10"/>
    <n v="17556.3"/>
    <n v="1755.6299999999999"/>
    <s v="Blue"/>
    <x v="6"/>
    <n v="100000"/>
    <s v="Y"/>
    <s v="TY14CORBLU027"/>
  </r>
  <r>
    <s v="TY"/>
    <s v="Toyota"/>
    <s v="COR"/>
    <s v="Corolla"/>
    <s v="12"/>
    <n v="12"/>
    <n v="29601.9"/>
    <n v="2466.8250000000003"/>
    <s v="Black"/>
    <x v="10"/>
    <n v="100000"/>
    <s v="Y"/>
    <s v="TY12CORBLA028"/>
  </r>
  <r>
    <s v="TY"/>
    <s v="Toyota"/>
    <s v="CAM"/>
    <s v="Camry"/>
    <s v="12"/>
    <n v="12"/>
    <n v="22128.2"/>
    <n v="1844.0166666666667"/>
    <s v="Blue"/>
    <x v="14"/>
    <n v="100000"/>
    <s v="Y"/>
    <s v="TY12CAMBLU029"/>
  </r>
  <r>
    <s v="HO"/>
    <s v="Honda"/>
    <s v="CIV"/>
    <s v="Civic"/>
    <s v="99"/>
    <n v="25"/>
    <n v="82374"/>
    <n v="3294.96"/>
    <s v="White"/>
    <x v="9"/>
    <n v="75000"/>
    <s v="Not Covered"/>
    <s v="HO99CIVWHI030"/>
  </r>
  <r>
    <s v="HO"/>
    <s v="Honda"/>
    <s v="CIV"/>
    <s v="Civic"/>
    <s v="01"/>
    <n v="23"/>
    <n v="69891.899999999994"/>
    <n v="3038.7782608695647"/>
    <s v="Blue"/>
    <x v="3"/>
    <n v="75000"/>
    <s v="Y"/>
    <s v="HO01CIVBLU031"/>
  </r>
  <r>
    <s v="HO"/>
    <s v="Honda"/>
    <s v="CIV"/>
    <s v="Civic"/>
    <s v="10"/>
    <n v="14"/>
    <n v="22573"/>
    <n v="1612.3571428571429"/>
    <s v="Blue"/>
    <x v="12"/>
    <n v="75000"/>
    <s v="Y"/>
    <s v="HO10CIVBLU032"/>
  </r>
  <r>
    <s v="HO"/>
    <s v="Honda"/>
    <s v="CIV"/>
    <s v="Civic"/>
    <s v="10"/>
    <n v="14"/>
    <n v="33477.199999999997"/>
    <n v="2391.2285714285713"/>
    <s v="Black"/>
    <x v="15"/>
    <n v="75000"/>
    <s v="Y"/>
    <s v="HO10CIVBLA033"/>
  </r>
  <r>
    <s v="HO"/>
    <s v="Honda"/>
    <s v="CIV"/>
    <s v="Civic"/>
    <s v="11"/>
    <n v="13"/>
    <n v="30555.3"/>
    <n v="2350.4076923076923"/>
    <s v="Black"/>
    <x v="2"/>
    <n v="75000"/>
    <s v="Y"/>
    <s v="HO11CIVBLA034"/>
  </r>
  <r>
    <s v="HO"/>
    <s v="Honda"/>
    <s v="CIV"/>
    <s v="Civic"/>
    <s v="12"/>
    <n v="12"/>
    <n v="24513.200000000001"/>
    <n v="2042.7666666666667"/>
    <s v="Black"/>
    <x v="13"/>
    <n v="75000"/>
    <s v="Y"/>
    <s v="HO12CIVBLA035"/>
  </r>
  <r>
    <s v="HO"/>
    <s v="Honda"/>
    <s v="CIV"/>
    <s v="Civic"/>
    <s v="13"/>
    <n v="11"/>
    <n v="13867.6"/>
    <n v="1260.6909090909091"/>
    <s v="Black"/>
    <x v="14"/>
    <n v="75000"/>
    <s v="Y"/>
    <s v="HO13CIVBLA036"/>
  </r>
  <r>
    <s v="HO"/>
    <s v="Honda"/>
    <s v="ODY"/>
    <s v="Odyssey"/>
    <s v="05"/>
    <n v="19"/>
    <n v="60389.5"/>
    <n v="3178.3947368421054"/>
    <s v="White"/>
    <x v="5"/>
    <n v="100000"/>
    <s v="Y"/>
    <s v="HO05ODYWHI037"/>
  </r>
  <r>
    <s v="HO"/>
    <s v="Honda"/>
    <s v="ODY"/>
    <s v="Odyssey"/>
    <s v="07"/>
    <n v="17"/>
    <n v="50854.1"/>
    <n v="2991.4176470588236"/>
    <s v="Black"/>
    <x v="15"/>
    <n v="100000"/>
    <s v="Y"/>
    <s v="HO07ODYBLA038"/>
  </r>
  <r>
    <s v="HO"/>
    <s v="Honda"/>
    <s v="ODY"/>
    <s v="Odyssey"/>
    <s v="08"/>
    <n v="16"/>
    <n v="42504.6"/>
    <n v="2656.5374999999999"/>
    <s v="White"/>
    <x v="9"/>
    <n v="100000"/>
    <s v="Y"/>
    <s v="HO08ODYWHI039"/>
  </r>
  <r>
    <s v="HO"/>
    <s v="Honda"/>
    <s v="ODY"/>
    <s v="Odyssey"/>
    <s v="01"/>
    <n v="23"/>
    <n v="68658.899999999994"/>
    <n v="2985.1695652173912"/>
    <s v="Black"/>
    <x v="0"/>
    <n v="100000"/>
    <s v="Y"/>
    <s v="HO01ODYBLA040"/>
  </r>
  <r>
    <s v="HO"/>
    <s v="Honda"/>
    <s v="ODY"/>
    <s v="Odyssey"/>
    <s v="14"/>
    <n v="10"/>
    <n v="3708.1"/>
    <n v="370.81"/>
    <s v="Black"/>
    <x v="1"/>
    <n v="100000"/>
    <s v="Y"/>
    <s v="HO14ODYBLA041"/>
  </r>
  <r>
    <s v="CR"/>
    <s v="Chrysler"/>
    <s v="PTC"/>
    <s v="PT Cruiser"/>
    <s v="04"/>
    <n v="20"/>
    <n v="64542"/>
    <n v="3227.1"/>
    <s v="Blue"/>
    <x v="0"/>
    <n v="75000"/>
    <s v="Y"/>
    <s v="CR04PTCBLU042"/>
  </r>
  <r>
    <s v="CR"/>
    <s v="Chrysler"/>
    <s v="PTC"/>
    <s v="PT Cruiser"/>
    <s v="07"/>
    <n v="17"/>
    <n v="42074.2"/>
    <n v="2474.9529411764706"/>
    <s v="Green"/>
    <x v="16"/>
    <n v="75000"/>
    <s v="Y"/>
    <s v="CR07PTCGRE043"/>
  </r>
  <r>
    <s v="CR"/>
    <s v="Chrysler"/>
    <s v="PTC"/>
    <s v="PT Cruiser"/>
    <s v="11"/>
    <n v="13"/>
    <n v="27394.2"/>
    <n v="2107.2461538461539"/>
    <s v="Black"/>
    <x v="8"/>
    <n v="75000"/>
    <s v="Y"/>
    <s v="CR11PTCBLA044"/>
  </r>
  <r>
    <s v="CR"/>
    <s v="Chrysler"/>
    <s v="CAR"/>
    <s v="Caravan"/>
    <s v="99"/>
    <n v="25"/>
    <n v="79420.600000000006"/>
    <n v="3176.8240000000001"/>
    <s v="Green"/>
    <x v="13"/>
    <n v="75000"/>
    <s v="Not Covered"/>
    <s v="CR99CARGRE045"/>
  </r>
  <r>
    <s v="CR"/>
    <s v="Chrysler"/>
    <s v="CAR"/>
    <s v="Caravan"/>
    <s v="00"/>
    <n v="24"/>
    <n v="77243.100000000006"/>
    <n v="3218.4625000000001"/>
    <s v="Black"/>
    <x v="3"/>
    <n v="75000"/>
    <s v="Not Covered"/>
    <s v="CR00CARBLA046"/>
  </r>
  <r>
    <s v="CR"/>
    <s v="Chrysler"/>
    <s v="CAR"/>
    <s v="Caravan"/>
    <s v="04"/>
    <n v="20"/>
    <n v="72527.199999999997"/>
    <n v="3626.3599999999997"/>
    <s v="White"/>
    <x v="11"/>
    <n v="75000"/>
    <s v="Y"/>
    <s v="CR04CARWHI047"/>
  </r>
  <r>
    <s v="CR"/>
    <s v="Chrysler"/>
    <s v="CAR"/>
    <s v="Caravan"/>
    <s v="04"/>
    <n v="20"/>
    <n v="52699.4"/>
    <n v="2634.9700000000003"/>
    <s v="Red"/>
    <x v="11"/>
    <n v="75000"/>
    <s v="Y"/>
    <s v="CR04CARRED048"/>
  </r>
  <r>
    <s v="HY"/>
    <s v="Hyundai"/>
    <s v="ELA"/>
    <s v="Elantra"/>
    <s v="11"/>
    <n v="13"/>
    <n v="29102.3"/>
    <n v="2238.6384615384613"/>
    <s v="Black"/>
    <x v="12"/>
    <n v="100000"/>
    <s v="Y"/>
    <s v="HY11ELABLA049"/>
  </r>
  <r>
    <s v="HY"/>
    <s v="Hyundai"/>
    <s v="ELA"/>
    <s v="Elantra"/>
    <s v="12"/>
    <n v="12"/>
    <n v="22282"/>
    <n v="1856.8333333333333"/>
    <s v="Blue"/>
    <x v="1"/>
    <n v="100000"/>
    <s v="Y"/>
    <s v="HY12ELABLU050"/>
  </r>
  <r>
    <s v="HY"/>
    <s v="Hyundai"/>
    <s v="ELA"/>
    <s v="Elantra"/>
    <s v="13"/>
    <n v="11"/>
    <n v="20223.900000000001"/>
    <n v="1838.5363636363638"/>
    <s v="Black"/>
    <x v="6"/>
    <n v="100000"/>
    <s v="Y"/>
    <s v="HY13ELABLA051"/>
  </r>
  <r>
    <s v="HY"/>
    <s v="Hyundai"/>
    <s v="ELA"/>
    <s v="Elantra"/>
    <s v="13"/>
    <n v="11"/>
    <n v="22188.5"/>
    <n v="2017.136363636363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6CE9E-5B94-4171-ADD8-DDC62442001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70"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formats count="1">
    <format dxfId="3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A39D7-6290-4D51-B285-F1164FD992D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numFmtId="43" showAll="0"/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B165-8BD5-42C7-AA52-B22441007276}">
  <dimension ref="A1:AD26"/>
  <sheetViews>
    <sheetView topLeftCell="C1" workbookViewId="0">
      <selection activeCell="C8" sqref="C8"/>
    </sheetView>
  </sheetViews>
  <sheetFormatPr defaultRowHeight="14.5"/>
  <cols>
    <col min="1" max="1" width="12.453125" customWidth="1"/>
    <col min="2" max="2" width="12.6328125" customWidth="1"/>
    <col min="3" max="3" width="13.1796875" customWidth="1"/>
    <col min="4" max="13" width="15.26953125" customWidth="1"/>
    <col min="14" max="18" width="14.54296875" customWidth="1"/>
    <col min="19" max="23" width="14.453125" customWidth="1"/>
    <col min="24" max="28" width="12" customWidth="1"/>
    <col min="30" max="30" width="12.81640625" customWidth="1"/>
  </cols>
  <sheetData>
    <row r="1" spans="1:30">
      <c r="A1" t="s">
        <v>0</v>
      </c>
      <c r="C1" t="s">
        <v>43</v>
      </c>
    </row>
    <row r="2" spans="1:30">
      <c r="D2" s="15" t="s">
        <v>4</v>
      </c>
      <c r="E2" s="15"/>
      <c r="F2" s="15"/>
      <c r="G2" s="15"/>
      <c r="H2" s="15"/>
      <c r="I2" s="16" t="s">
        <v>44</v>
      </c>
      <c r="J2" s="16"/>
      <c r="K2" s="16"/>
      <c r="L2" s="16"/>
      <c r="M2" s="16"/>
      <c r="N2" s="17" t="s">
        <v>5</v>
      </c>
      <c r="O2" s="17"/>
      <c r="P2" s="17"/>
      <c r="Q2" s="17"/>
      <c r="R2" s="17"/>
      <c r="S2" s="18" t="s">
        <v>45</v>
      </c>
      <c r="T2" s="18"/>
      <c r="U2" s="18"/>
      <c r="V2" s="18"/>
      <c r="W2" s="18"/>
      <c r="X2" s="19" t="s">
        <v>46</v>
      </c>
      <c r="Y2" s="19"/>
      <c r="Z2" s="19"/>
      <c r="AA2" s="19"/>
      <c r="AB2" s="19"/>
      <c r="AD2" t="s">
        <v>47</v>
      </c>
    </row>
    <row r="3" spans="1:30">
      <c r="A3" t="s">
        <v>1</v>
      </c>
      <c r="B3" t="s">
        <v>2</v>
      </c>
      <c r="C3" t="s">
        <v>3</v>
      </c>
      <c r="D3" s="12">
        <v>45292</v>
      </c>
      <c r="E3" s="12">
        <f>D3+7</f>
        <v>45299</v>
      </c>
      <c r="F3" s="12">
        <f>E3+7</f>
        <v>45306</v>
      </c>
      <c r="G3" s="12">
        <f>F3+7</f>
        <v>45313</v>
      </c>
      <c r="H3" s="12">
        <f>G3+7</f>
        <v>45320</v>
      </c>
      <c r="I3" s="10">
        <v>45292</v>
      </c>
      <c r="J3" s="10">
        <f>I3+7</f>
        <v>45299</v>
      </c>
      <c r="K3" s="10">
        <f>J3+7</f>
        <v>45306</v>
      </c>
      <c r="L3" s="10">
        <f>K3+7</f>
        <v>45313</v>
      </c>
      <c r="M3" s="10">
        <f>L3+7</f>
        <v>45320</v>
      </c>
      <c r="N3" s="8">
        <v>45292</v>
      </c>
      <c r="O3" s="8">
        <f>N3+7</f>
        <v>45299</v>
      </c>
      <c r="P3" s="8">
        <f>O3+7</f>
        <v>45306</v>
      </c>
      <c r="Q3" s="8">
        <f>P3+7</f>
        <v>45313</v>
      </c>
      <c r="R3" s="8">
        <f>Q3+7</f>
        <v>45320</v>
      </c>
      <c r="S3" s="6">
        <v>45292</v>
      </c>
      <c r="T3" s="6">
        <f>S3+7</f>
        <v>45299</v>
      </c>
      <c r="U3" s="6">
        <f>T3+7</f>
        <v>45306</v>
      </c>
      <c r="V3" s="6">
        <f>U3+7</f>
        <v>45313</v>
      </c>
      <c r="W3" s="6">
        <f>V3+7</f>
        <v>45320</v>
      </c>
      <c r="X3" s="4">
        <v>45292</v>
      </c>
      <c r="Y3" s="4">
        <f>X3+7</f>
        <v>45299</v>
      </c>
      <c r="Z3" s="4">
        <f>Y3+7</f>
        <v>45306</v>
      </c>
      <c r="AA3" s="4">
        <f>Z3+7</f>
        <v>45313</v>
      </c>
      <c r="AB3" s="4">
        <f>AA3+7</f>
        <v>45320</v>
      </c>
    </row>
    <row r="4" spans="1:30">
      <c r="A4" t="s">
        <v>6</v>
      </c>
      <c r="B4" t="s">
        <v>23</v>
      </c>
      <c r="C4" s="1">
        <v>15.9</v>
      </c>
      <c r="D4" s="13">
        <v>40</v>
      </c>
      <c r="E4" s="13">
        <v>55</v>
      </c>
      <c r="F4" s="13">
        <v>49</v>
      </c>
      <c r="G4" s="13">
        <v>43</v>
      </c>
      <c r="H4" s="13">
        <v>55</v>
      </c>
      <c r="I4" s="11">
        <f t="shared" ref="I4:I20" si="0">IF(D4-40&gt;=0,D4-40,0)</f>
        <v>0</v>
      </c>
      <c r="J4" s="11">
        <f t="shared" ref="J4:J20" si="1">IF(E4&gt;40,E4-40,0)</f>
        <v>15</v>
      </c>
      <c r="K4" s="11">
        <f t="shared" ref="K4:K20" si="2">IF(F4&gt;40,F4-40,0)</f>
        <v>9</v>
      </c>
      <c r="L4" s="11">
        <f t="shared" ref="L4:L20" si="3">IF(G4&gt;40,G4-40,0)</f>
        <v>3</v>
      </c>
      <c r="M4" s="11">
        <f t="shared" ref="M4:M20" si="4">IF(H4&gt;40,H4-40,0)</f>
        <v>15</v>
      </c>
      <c r="N4" s="9">
        <f t="shared" ref="N4:N20" si="5">C4*D4</f>
        <v>636</v>
      </c>
      <c r="O4" s="9">
        <f t="shared" ref="O4:O20" si="6">C4*E4</f>
        <v>874.5</v>
      </c>
      <c r="P4" s="9">
        <f t="shared" ref="P4:P20" si="7">C4*F4</f>
        <v>779.1</v>
      </c>
      <c r="Q4" s="9">
        <f t="shared" ref="Q4:Q20" si="8">C4*G4</f>
        <v>683.7</v>
      </c>
      <c r="R4" s="9">
        <f t="shared" ref="R4:R20" si="9">C4*H4</f>
        <v>874.5</v>
      </c>
      <c r="S4" s="7">
        <f t="shared" ref="S4:S20" si="10">0.5*C4*I4</f>
        <v>0</v>
      </c>
      <c r="T4" s="7">
        <f t="shared" ref="T4:T20" si="11">0.5*C4*J4</f>
        <v>119.25</v>
      </c>
      <c r="U4" s="7">
        <f t="shared" ref="U4:U20" si="12">0.5*C4*K4</f>
        <v>71.55</v>
      </c>
      <c r="V4" s="7">
        <f t="shared" ref="V4:V20" si="13">0.5*C4*L4</f>
        <v>23.85</v>
      </c>
      <c r="W4" s="7">
        <f t="shared" ref="W4:W20" si="14">0.5*C4*M4</f>
        <v>119.25</v>
      </c>
      <c r="X4" s="5">
        <f t="shared" ref="X4:X20" si="15">N4+S4</f>
        <v>636</v>
      </c>
      <c r="Y4" s="5">
        <f t="shared" ref="Y4:Y20" si="16">O4+T4</f>
        <v>993.75</v>
      </c>
      <c r="Z4" s="5">
        <f t="shared" ref="Z4:Z20" si="17">P4+U4</f>
        <v>850.65</v>
      </c>
      <c r="AA4" s="5">
        <f t="shared" ref="AA4:AA20" si="18">Q4+V4</f>
        <v>707.55000000000007</v>
      </c>
      <c r="AB4" s="5">
        <f t="shared" ref="AB4:AB20" si="19">R4+W4</f>
        <v>993.75</v>
      </c>
      <c r="AD4" s="14">
        <f t="shared" ref="AD4:AD20" si="20">SUM(X4:AB4)</f>
        <v>4181.7000000000007</v>
      </c>
    </row>
    <row r="5" spans="1:30">
      <c r="A5" t="s">
        <v>7</v>
      </c>
      <c r="B5" t="s">
        <v>24</v>
      </c>
      <c r="C5" s="1">
        <v>10</v>
      </c>
      <c r="D5" s="13">
        <v>42</v>
      </c>
      <c r="E5" s="13">
        <v>44</v>
      </c>
      <c r="F5" s="13">
        <v>43</v>
      </c>
      <c r="G5" s="13">
        <v>37</v>
      </c>
      <c r="H5" s="13">
        <v>50</v>
      </c>
      <c r="I5" s="11">
        <f t="shared" si="0"/>
        <v>2</v>
      </c>
      <c r="J5" s="11">
        <f t="shared" si="1"/>
        <v>4</v>
      </c>
      <c r="K5" s="11">
        <f t="shared" si="2"/>
        <v>3</v>
      </c>
      <c r="L5" s="11">
        <f t="shared" si="3"/>
        <v>0</v>
      </c>
      <c r="M5" s="11">
        <f t="shared" si="4"/>
        <v>10</v>
      </c>
      <c r="N5" s="9">
        <f t="shared" si="5"/>
        <v>420</v>
      </c>
      <c r="O5" s="9">
        <f t="shared" si="6"/>
        <v>440</v>
      </c>
      <c r="P5" s="9">
        <f t="shared" si="7"/>
        <v>430</v>
      </c>
      <c r="Q5" s="9">
        <f t="shared" si="8"/>
        <v>370</v>
      </c>
      <c r="R5" s="9">
        <f t="shared" si="9"/>
        <v>500</v>
      </c>
      <c r="S5" s="7">
        <f t="shared" si="10"/>
        <v>10</v>
      </c>
      <c r="T5" s="7">
        <f t="shared" si="11"/>
        <v>20</v>
      </c>
      <c r="U5" s="7">
        <f t="shared" si="12"/>
        <v>15</v>
      </c>
      <c r="V5" s="7">
        <f t="shared" si="13"/>
        <v>0</v>
      </c>
      <c r="W5" s="7">
        <f t="shared" si="14"/>
        <v>50</v>
      </c>
      <c r="X5" s="5">
        <f t="shared" si="15"/>
        <v>430</v>
      </c>
      <c r="Y5" s="5">
        <f t="shared" si="16"/>
        <v>460</v>
      </c>
      <c r="Z5" s="5">
        <f t="shared" si="17"/>
        <v>445</v>
      </c>
      <c r="AA5" s="5">
        <f t="shared" si="18"/>
        <v>370</v>
      </c>
      <c r="AB5" s="5">
        <f t="shared" si="19"/>
        <v>550</v>
      </c>
      <c r="AD5" s="14">
        <f t="shared" si="20"/>
        <v>2255</v>
      </c>
    </row>
    <row r="6" spans="1:30">
      <c r="A6" t="s">
        <v>8</v>
      </c>
      <c r="B6" t="s">
        <v>25</v>
      </c>
      <c r="C6" s="1">
        <v>22</v>
      </c>
      <c r="D6" s="13">
        <v>49</v>
      </c>
      <c r="E6" s="13">
        <v>45</v>
      </c>
      <c r="F6" s="13">
        <v>41</v>
      </c>
      <c r="G6" s="13">
        <v>49</v>
      </c>
      <c r="H6" s="13">
        <v>54</v>
      </c>
      <c r="I6" s="11">
        <f t="shared" si="0"/>
        <v>9</v>
      </c>
      <c r="J6" s="11">
        <f t="shared" si="1"/>
        <v>5</v>
      </c>
      <c r="K6" s="11">
        <f t="shared" si="2"/>
        <v>1</v>
      </c>
      <c r="L6" s="11">
        <f t="shared" si="3"/>
        <v>9</v>
      </c>
      <c r="M6" s="11">
        <f t="shared" si="4"/>
        <v>14</v>
      </c>
      <c r="N6" s="9">
        <f t="shared" si="5"/>
        <v>1078</v>
      </c>
      <c r="O6" s="9">
        <f t="shared" si="6"/>
        <v>990</v>
      </c>
      <c r="P6" s="9">
        <f t="shared" si="7"/>
        <v>902</v>
      </c>
      <c r="Q6" s="9">
        <f t="shared" si="8"/>
        <v>1078</v>
      </c>
      <c r="R6" s="9">
        <f t="shared" si="9"/>
        <v>1188</v>
      </c>
      <c r="S6" s="7">
        <f t="shared" si="10"/>
        <v>99</v>
      </c>
      <c r="T6" s="7">
        <f t="shared" si="11"/>
        <v>55</v>
      </c>
      <c r="U6" s="7">
        <f t="shared" si="12"/>
        <v>11</v>
      </c>
      <c r="V6" s="7">
        <f t="shared" si="13"/>
        <v>99</v>
      </c>
      <c r="W6" s="7">
        <f t="shared" si="14"/>
        <v>154</v>
      </c>
      <c r="X6" s="5">
        <f t="shared" si="15"/>
        <v>1177</v>
      </c>
      <c r="Y6" s="5">
        <f t="shared" si="16"/>
        <v>1045</v>
      </c>
      <c r="Z6" s="5">
        <f t="shared" si="17"/>
        <v>913</v>
      </c>
      <c r="AA6" s="5">
        <f t="shared" si="18"/>
        <v>1177</v>
      </c>
      <c r="AB6" s="5">
        <f t="shared" si="19"/>
        <v>1342</v>
      </c>
      <c r="AD6" s="14">
        <f t="shared" si="20"/>
        <v>5654</v>
      </c>
    </row>
    <row r="7" spans="1:30">
      <c r="A7" t="s">
        <v>9</v>
      </c>
      <c r="B7" t="s">
        <v>26</v>
      </c>
      <c r="C7" s="1">
        <v>19.100000000000001</v>
      </c>
      <c r="D7" s="13">
        <v>41</v>
      </c>
      <c r="E7" s="13">
        <v>36</v>
      </c>
      <c r="F7" s="13">
        <v>50</v>
      </c>
      <c r="G7" s="13">
        <v>51</v>
      </c>
      <c r="H7" s="13">
        <v>53</v>
      </c>
      <c r="I7" s="11">
        <f t="shared" si="0"/>
        <v>1</v>
      </c>
      <c r="J7" s="11">
        <f t="shared" si="1"/>
        <v>0</v>
      </c>
      <c r="K7" s="11">
        <f t="shared" si="2"/>
        <v>10</v>
      </c>
      <c r="L7" s="11">
        <f t="shared" si="3"/>
        <v>11</v>
      </c>
      <c r="M7" s="11">
        <f t="shared" si="4"/>
        <v>13</v>
      </c>
      <c r="N7" s="9">
        <f t="shared" si="5"/>
        <v>783.1</v>
      </c>
      <c r="O7" s="9">
        <f t="shared" si="6"/>
        <v>687.6</v>
      </c>
      <c r="P7" s="9">
        <f t="shared" si="7"/>
        <v>955.00000000000011</v>
      </c>
      <c r="Q7" s="9">
        <f t="shared" si="8"/>
        <v>974.1</v>
      </c>
      <c r="R7" s="9">
        <f t="shared" si="9"/>
        <v>1012.3000000000001</v>
      </c>
      <c r="S7" s="7">
        <f t="shared" si="10"/>
        <v>9.5500000000000007</v>
      </c>
      <c r="T7" s="7">
        <f t="shared" si="11"/>
        <v>0</v>
      </c>
      <c r="U7" s="7">
        <f t="shared" si="12"/>
        <v>95.5</v>
      </c>
      <c r="V7" s="7">
        <f t="shared" si="13"/>
        <v>105.05000000000001</v>
      </c>
      <c r="W7" s="7">
        <f t="shared" si="14"/>
        <v>124.15</v>
      </c>
      <c r="X7" s="5">
        <f t="shared" si="15"/>
        <v>792.65</v>
      </c>
      <c r="Y7" s="5">
        <f t="shared" si="16"/>
        <v>687.6</v>
      </c>
      <c r="Z7" s="5">
        <f t="shared" si="17"/>
        <v>1050.5</v>
      </c>
      <c r="AA7" s="5">
        <f t="shared" si="18"/>
        <v>1079.1500000000001</v>
      </c>
      <c r="AB7" s="5">
        <f t="shared" si="19"/>
        <v>1136.45</v>
      </c>
      <c r="AD7" s="14">
        <f t="shared" si="20"/>
        <v>4746.3500000000004</v>
      </c>
    </row>
    <row r="8" spans="1:30">
      <c r="A8" t="s">
        <v>10</v>
      </c>
      <c r="B8" t="s">
        <v>27</v>
      </c>
      <c r="C8" s="1">
        <v>6.9</v>
      </c>
      <c r="D8" s="13">
        <v>39</v>
      </c>
      <c r="E8" s="13">
        <v>37</v>
      </c>
      <c r="F8" s="13">
        <v>43</v>
      </c>
      <c r="G8" s="13">
        <v>47</v>
      </c>
      <c r="H8" s="13">
        <v>45</v>
      </c>
      <c r="I8" s="11">
        <f t="shared" si="0"/>
        <v>0</v>
      </c>
      <c r="J8" s="11">
        <f t="shared" si="1"/>
        <v>0</v>
      </c>
      <c r="K8" s="11">
        <f t="shared" si="2"/>
        <v>3</v>
      </c>
      <c r="L8" s="11">
        <f t="shared" si="3"/>
        <v>7</v>
      </c>
      <c r="M8" s="11">
        <f t="shared" si="4"/>
        <v>5</v>
      </c>
      <c r="N8" s="9">
        <f t="shared" si="5"/>
        <v>269.10000000000002</v>
      </c>
      <c r="O8" s="9">
        <f t="shared" si="6"/>
        <v>255.3</v>
      </c>
      <c r="P8" s="9">
        <f t="shared" si="7"/>
        <v>296.7</v>
      </c>
      <c r="Q8" s="9">
        <f t="shared" si="8"/>
        <v>324.3</v>
      </c>
      <c r="R8" s="9">
        <f t="shared" si="9"/>
        <v>310.5</v>
      </c>
      <c r="S8" s="7">
        <f t="shared" si="10"/>
        <v>0</v>
      </c>
      <c r="T8" s="7">
        <f t="shared" si="11"/>
        <v>0</v>
      </c>
      <c r="U8" s="7">
        <f t="shared" si="12"/>
        <v>10.350000000000001</v>
      </c>
      <c r="V8" s="7">
        <f t="shared" si="13"/>
        <v>24.150000000000002</v>
      </c>
      <c r="W8" s="7">
        <f t="shared" si="14"/>
        <v>17.25</v>
      </c>
      <c r="X8" s="5">
        <f t="shared" si="15"/>
        <v>269.10000000000002</v>
      </c>
      <c r="Y8" s="5">
        <f t="shared" si="16"/>
        <v>255.3</v>
      </c>
      <c r="Z8" s="5">
        <f t="shared" si="17"/>
        <v>307.05</v>
      </c>
      <c r="AA8" s="5">
        <f t="shared" si="18"/>
        <v>348.45</v>
      </c>
      <c r="AB8" s="5">
        <f t="shared" si="19"/>
        <v>327.75</v>
      </c>
      <c r="AD8" s="14">
        <f t="shared" si="20"/>
        <v>1507.65</v>
      </c>
    </row>
    <row r="9" spans="1:30">
      <c r="A9" t="s">
        <v>11</v>
      </c>
      <c r="B9" t="s">
        <v>28</v>
      </c>
      <c r="C9" s="1">
        <v>14.2</v>
      </c>
      <c r="D9" s="13">
        <v>44</v>
      </c>
      <c r="E9" s="13">
        <v>51</v>
      </c>
      <c r="F9" s="13">
        <v>42</v>
      </c>
      <c r="G9" s="13">
        <v>38</v>
      </c>
      <c r="H9" s="13">
        <v>43</v>
      </c>
      <c r="I9" s="11">
        <f t="shared" si="0"/>
        <v>4</v>
      </c>
      <c r="J9" s="11">
        <f t="shared" si="1"/>
        <v>11</v>
      </c>
      <c r="K9" s="11">
        <f t="shared" si="2"/>
        <v>2</v>
      </c>
      <c r="L9" s="11">
        <f t="shared" si="3"/>
        <v>0</v>
      </c>
      <c r="M9" s="11">
        <f t="shared" si="4"/>
        <v>3</v>
      </c>
      <c r="N9" s="9">
        <f t="shared" si="5"/>
        <v>624.79999999999995</v>
      </c>
      <c r="O9" s="9">
        <f t="shared" si="6"/>
        <v>724.19999999999993</v>
      </c>
      <c r="P9" s="9">
        <f t="shared" si="7"/>
        <v>596.4</v>
      </c>
      <c r="Q9" s="9">
        <f t="shared" si="8"/>
        <v>539.6</v>
      </c>
      <c r="R9" s="9">
        <f t="shared" si="9"/>
        <v>610.6</v>
      </c>
      <c r="S9" s="7">
        <f t="shared" si="10"/>
        <v>28.4</v>
      </c>
      <c r="T9" s="7">
        <f t="shared" si="11"/>
        <v>78.099999999999994</v>
      </c>
      <c r="U9" s="7">
        <f t="shared" si="12"/>
        <v>14.2</v>
      </c>
      <c r="V9" s="7">
        <f t="shared" si="13"/>
        <v>0</v>
      </c>
      <c r="W9" s="7">
        <f t="shared" si="14"/>
        <v>21.299999999999997</v>
      </c>
      <c r="X9" s="5">
        <f t="shared" si="15"/>
        <v>653.19999999999993</v>
      </c>
      <c r="Y9" s="5">
        <f t="shared" si="16"/>
        <v>802.3</v>
      </c>
      <c r="Z9" s="5">
        <f t="shared" si="17"/>
        <v>610.6</v>
      </c>
      <c r="AA9" s="5">
        <f t="shared" si="18"/>
        <v>539.6</v>
      </c>
      <c r="AB9" s="5">
        <f t="shared" si="19"/>
        <v>631.9</v>
      </c>
      <c r="AD9" s="14">
        <f t="shared" si="20"/>
        <v>3237.6</v>
      </c>
    </row>
    <row r="10" spans="1:30">
      <c r="A10" t="s">
        <v>12</v>
      </c>
      <c r="B10" t="s">
        <v>29</v>
      </c>
      <c r="C10" s="1">
        <v>18</v>
      </c>
      <c r="D10" s="13">
        <v>55</v>
      </c>
      <c r="E10" s="13">
        <v>50</v>
      </c>
      <c r="F10" s="13">
        <v>55</v>
      </c>
      <c r="G10" s="13">
        <v>43</v>
      </c>
      <c r="H10" s="13">
        <v>36</v>
      </c>
      <c r="I10" s="11">
        <f t="shared" si="0"/>
        <v>15</v>
      </c>
      <c r="J10" s="11">
        <f t="shared" si="1"/>
        <v>10</v>
      </c>
      <c r="K10" s="11">
        <f t="shared" si="2"/>
        <v>15</v>
      </c>
      <c r="L10" s="11">
        <f t="shared" si="3"/>
        <v>3</v>
      </c>
      <c r="M10" s="11">
        <f t="shared" si="4"/>
        <v>0</v>
      </c>
      <c r="N10" s="9">
        <f t="shared" si="5"/>
        <v>990</v>
      </c>
      <c r="O10" s="9">
        <f t="shared" si="6"/>
        <v>900</v>
      </c>
      <c r="P10" s="9">
        <f t="shared" si="7"/>
        <v>990</v>
      </c>
      <c r="Q10" s="9">
        <f t="shared" si="8"/>
        <v>774</v>
      </c>
      <c r="R10" s="9">
        <f t="shared" si="9"/>
        <v>648</v>
      </c>
      <c r="S10" s="7">
        <f t="shared" si="10"/>
        <v>135</v>
      </c>
      <c r="T10" s="7">
        <f t="shared" si="11"/>
        <v>90</v>
      </c>
      <c r="U10" s="7">
        <f t="shared" si="12"/>
        <v>135</v>
      </c>
      <c r="V10" s="7">
        <f t="shared" si="13"/>
        <v>27</v>
      </c>
      <c r="W10" s="7">
        <f t="shared" si="14"/>
        <v>0</v>
      </c>
      <c r="X10" s="5">
        <f t="shared" si="15"/>
        <v>1125</v>
      </c>
      <c r="Y10" s="5">
        <f t="shared" si="16"/>
        <v>990</v>
      </c>
      <c r="Z10" s="5">
        <f t="shared" si="17"/>
        <v>1125</v>
      </c>
      <c r="AA10" s="5">
        <f t="shared" si="18"/>
        <v>801</v>
      </c>
      <c r="AB10" s="5">
        <f t="shared" si="19"/>
        <v>648</v>
      </c>
      <c r="AD10" s="14">
        <f t="shared" si="20"/>
        <v>4689</v>
      </c>
    </row>
    <row r="11" spans="1:30">
      <c r="A11" t="s">
        <v>13</v>
      </c>
      <c r="B11" t="s">
        <v>30</v>
      </c>
      <c r="C11" s="1">
        <v>17.5</v>
      </c>
      <c r="D11" s="13">
        <v>33</v>
      </c>
      <c r="E11" s="13">
        <v>35</v>
      </c>
      <c r="F11" s="13">
        <v>36</v>
      </c>
      <c r="G11" s="13">
        <v>40</v>
      </c>
      <c r="H11" s="13">
        <v>40</v>
      </c>
      <c r="I11" s="11">
        <f t="shared" si="0"/>
        <v>0</v>
      </c>
      <c r="J11" s="11">
        <f t="shared" si="1"/>
        <v>0</v>
      </c>
      <c r="K11" s="11">
        <f t="shared" si="2"/>
        <v>0</v>
      </c>
      <c r="L11" s="11">
        <f t="shared" si="3"/>
        <v>0</v>
      </c>
      <c r="M11" s="11">
        <f t="shared" si="4"/>
        <v>0</v>
      </c>
      <c r="N11" s="9">
        <f t="shared" si="5"/>
        <v>577.5</v>
      </c>
      <c r="O11" s="9">
        <f t="shared" si="6"/>
        <v>612.5</v>
      </c>
      <c r="P11" s="9">
        <f t="shared" si="7"/>
        <v>630</v>
      </c>
      <c r="Q11" s="9">
        <f t="shared" si="8"/>
        <v>700</v>
      </c>
      <c r="R11" s="9">
        <f t="shared" si="9"/>
        <v>700</v>
      </c>
      <c r="S11" s="7">
        <f t="shared" si="10"/>
        <v>0</v>
      </c>
      <c r="T11" s="7">
        <f t="shared" si="11"/>
        <v>0</v>
      </c>
      <c r="U11" s="7">
        <f t="shared" si="12"/>
        <v>0</v>
      </c>
      <c r="V11" s="7">
        <f t="shared" si="13"/>
        <v>0</v>
      </c>
      <c r="W11" s="7">
        <f t="shared" si="14"/>
        <v>0</v>
      </c>
      <c r="X11" s="5">
        <f t="shared" si="15"/>
        <v>577.5</v>
      </c>
      <c r="Y11" s="5">
        <f t="shared" si="16"/>
        <v>612.5</v>
      </c>
      <c r="Z11" s="5">
        <f t="shared" si="17"/>
        <v>630</v>
      </c>
      <c r="AA11" s="5">
        <f t="shared" si="18"/>
        <v>700</v>
      </c>
      <c r="AB11" s="5">
        <f t="shared" si="19"/>
        <v>700</v>
      </c>
      <c r="AD11" s="14">
        <f t="shared" si="20"/>
        <v>3220</v>
      </c>
    </row>
    <row r="12" spans="1:30">
      <c r="A12" t="s">
        <v>14</v>
      </c>
      <c r="B12" t="s">
        <v>31</v>
      </c>
      <c r="C12" s="1">
        <v>14.7</v>
      </c>
      <c r="D12" s="13">
        <v>29</v>
      </c>
      <c r="E12" s="13">
        <v>40</v>
      </c>
      <c r="F12" s="13">
        <v>55</v>
      </c>
      <c r="G12" s="13">
        <v>41</v>
      </c>
      <c r="H12" s="13">
        <v>51</v>
      </c>
      <c r="I12" s="11">
        <f t="shared" si="0"/>
        <v>0</v>
      </c>
      <c r="J12" s="11">
        <f t="shared" si="1"/>
        <v>0</v>
      </c>
      <c r="K12" s="11">
        <f t="shared" si="2"/>
        <v>15</v>
      </c>
      <c r="L12" s="11">
        <f t="shared" si="3"/>
        <v>1</v>
      </c>
      <c r="M12" s="11">
        <f t="shared" si="4"/>
        <v>11</v>
      </c>
      <c r="N12" s="9">
        <f t="shared" si="5"/>
        <v>426.29999999999995</v>
      </c>
      <c r="O12" s="9">
        <f t="shared" si="6"/>
        <v>588</v>
      </c>
      <c r="P12" s="9">
        <f t="shared" si="7"/>
        <v>808.5</v>
      </c>
      <c r="Q12" s="9">
        <f t="shared" si="8"/>
        <v>602.69999999999993</v>
      </c>
      <c r="R12" s="9">
        <f t="shared" si="9"/>
        <v>749.69999999999993</v>
      </c>
      <c r="S12" s="7">
        <f t="shared" si="10"/>
        <v>0</v>
      </c>
      <c r="T12" s="7">
        <f t="shared" si="11"/>
        <v>0</v>
      </c>
      <c r="U12" s="7">
        <f t="shared" si="12"/>
        <v>110.25</v>
      </c>
      <c r="V12" s="7">
        <f t="shared" si="13"/>
        <v>7.35</v>
      </c>
      <c r="W12" s="7">
        <f t="shared" si="14"/>
        <v>80.849999999999994</v>
      </c>
      <c r="X12" s="5">
        <f t="shared" si="15"/>
        <v>426.29999999999995</v>
      </c>
      <c r="Y12" s="5">
        <f t="shared" si="16"/>
        <v>588</v>
      </c>
      <c r="Z12" s="5">
        <f t="shared" si="17"/>
        <v>918.75</v>
      </c>
      <c r="AA12" s="5">
        <f t="shared" si="18"/>
        <v>610.04999999999995</v>
      </c>
      <c r="AB12" s="5">
        <f t="shared" si="19"/>
        <v>830.55</v>
      </c>
      <c r="AD12" s="14">
        <f t="shared" si="20"/>
        <v>3373.6499999999996</v>
      </c>
    </row>
    <row r="13" spans="1:30">
      <c r="A13" t="s">
        <v>15</v>
      </c>
      <c r="B13" t="s">
        <v>32</v>
      </c>
      <c r="C13" s="1">
        <v>13.9</v>
      </c>
      <c r="D13" s="13">
        <v>40</v>
      </c>
      <c r="E13" s="13">
        <v>45</v>
      </c>
      <c r="F13" s="13">
        <v>39</v>
      </c>
      <c r="G13" s="13">
        <v>43</v>
      </c>
      <c r="H13" s="13">
        <v>45</v>
      </c>
      <c r="I13" s="11">
        <f t="shared" si="0"/>
        <v>0</v>
      </c>
      <c r="J13" s="11">
        <f t="shared" si="1"/>
        <v>5</v>
      </c>
      <c r="K13" s="11">
        <f t="shared" si="2"/>
        <v>0</v>
      </c>
      <c r="L13" s="11">
        <f t="shared" si="3"/>
        <v>3</v>
      </c>
      <c r="M13" s="11">
        <f t="shared" si="4"/>
        <v>5</v>
      </c>
      <c r="N13" s="9">
        <f t="shared" si="5"/>
        <v>556</v>
      </c>
      <c r="O13" s="9">
        <f t="shared" si="6"/>
        <v>625.5</v>
      </c>
      <c r="P13" s="9">
        <f t="shared" si="7"/>
        <v>542.1</v>
      </c>
      <c r="Q13" s="9">
        <f t="shared" si="8"/>
        <v>597.70000000000005</v>
      </c>
      <c r="R13" s="9">
        <f t="shared" si="9"/>
        <v>625.5</v>
      </c>
      <c r="S13" s="7">
        <f t="shared" si="10"/>
        <v>0</v>
      </c>
      <c r="T13" s="7">
        <f t="shared" si="11"/>
        <v>34.75</v>
      </c>
      <c r="U13" s="7">
        <f t="shared" si="12"/>
        <v>0</v>
      </c>
      <c r="V13" s="7">
        <f t="shared" si="13"/>
        <v>20.85</v>
      </c>
      <c r="W13" s="7">
        <f t="shared" si="14"/>
        <v>34.75</v>
      </c>
      <c r="X13" s="5">
        <f t="shared" si="15"/>
        <v>556</v>
      </c>
      <c r="Y13" s="5">
        <f t="shared" si="16"/>
        <v>660.25</v>
      </c>
      <c r="Z13" s="5">
        <f t="shared" si="17"/>
        <v>542.1</v>
      </c>
      <c r="AA13" s="5">
        <f t="shared" si="18"/>
        <v>618.55000000000007</v>
      </c>
      <c r="AB13" s="5">
        <f t="shared" si="19"/>
        <v>660.25</v>
      </c>
      <c r="AD13" s="14">
        <f t="shared" si="20"/>
        <v>3037.15</v>
      </c>
    </row>
    <row r="14" spans="1:30">
      <c r="A14" t="s">
        <v>16</v>
      </c>
      <c r="B14" t="s">
        <v>33</v>
      </c>
      <c r="C14" s="1">
        <v>11.5</v>
      </c>
      <c r="D14" s="13">
        <v>42</v>
      </c>
      <c r="E14" s="13">
        <v>42</v>
      </c>
      <c r="F14" s="13">
        <v>41</v>
      </c>
      <c r="G14" s="13">
        <v>51</v>
      </c>
      <c r="H14" s="13">
        <v>37</v>
      </c>
      <c r="I14" s="11">
        <f t="shared" si="0"/>
        <v>2</v>
      </c>
      <c r="J14" s="11">
        <f t="shared" si="1"/>
        <v>2</v>
      </c>
      <c r="K14" s="11">
        <f t="shared" si="2"/>
        <v>1</v>
      </c>
      <c r="L14" s="11">
        <f t="shared" si="3"/>
        <v>11</v>
      </c>
      <c r="M14" s="11">
        <f t="shared" si="4"/>
        <v>0</v>
      </c>
      <c r="N14" s="9">
        <f t="shared" si="5"/>
        <v>483</v>
      </c>
      <c r="O14" s="9">
        <f t="shared" si="6"/>
        <v>483</v>
      </c>
      <c r="P14" s="9">
        <f t="shared" si="7"/>
        <v>471.5</v>
      </c>
      <c r="Q14" s="9">
        <f t="shared" si="8"/>
        <v>586.5</v>
      </c>
      <c r="R14" s="9">
        <f t="shared" si="9"/>
        <v>425.5</v>
      </c>
      <c r="S14" s="7">
        <f t="shared" si="10"/>
        <v>11.5</v>
      </c>
      <c r="T14" s="7">
        <f t="shared" si="11"/>
        <v>11.5</v>
      </c>
      <c r="U14" s="7">
        <f t="shared" si="12"/>
        <v>5.75</v>
      </c>
      <c r="V14" s="7">
        <f t="shared" si="13"/>
        <v>63.25</v>
      </c>
      <c r="W14" s="7">
        <f t="shared" si="14"/>
        <v>0</v>
      </c>
      <c r="X14" s="5">
        <f t="shared" si="15"/>
        <v>494.5</v>
      </c>
      <c r="Y14" s="5">
        <f t="shared" si="16"/>
        <v>494.5</v>
      </c>
      <c r="Z14" s="5">
        <f t="shared" si="17"/>
        <v>477.25</v>
      </c>
      <c r="AA14" s="5">
        <f t="shared" si="18"/>
        <v>649.75</v>
      </c>
      <c r="AB14" s="5">
        <f t="shared" si="19"/>
        <v>425.5</v>
      </c>
      <c r="AD14" s="14">
        <f t="shared" si="20"/>
        <v>2541.5</v>
      </c>
    </row>
    <row r="15" spans="1:30">
      <c r="A15" t="s">
        <v>17</v>
      </c>
      <c r="B15" t="s">
        <v>34</v>
      </c>
      <c r="C15" s="1">
        <v>10.7</v>
      </c>
      <c r="D15" s="13">
        <v>40</v>
      </c>
      <c r="E15" s="13">
        <v>48</v>
      </c>
      <c r="F15" s="13">
        <v>46</v>
      </c>
      <c r="G15" s="13">
        <v>39</v>
      </c>
      <c r="H15" s="13">
        <v>38</v>
      </c>
      <c r="I15" s="11">
        <f t="shared" si="0"/>
        <v>0</v>
      </c>
      <c r="J15" s="11">
        <f t="shared" si="1"/>
        <v>8</v>
      </c>
      <c r="K15" s="11">
        <f t="shared" si="2"/>
        <v>6</v>
      </c>
      <c r="L15" s="11">
        <f t="shared" si="3"/>
        <v>0</v>
      </c>
      <c r="M15" s="11">
        <f t="shared" si="4"/>
        <v>0</v>
      </c>
      <c r="N15" s="9">
        <f t="shared" si="5"/>
        <v>428</v>
      </c>
      <c r="O15" s="9">
        <f t="shared" si="6"/>
        <v>513.59999999999991</v>
      </c>
      <c r="P15" s="9">
        <f t="shared" si="7"/>
        <v>492.2</v>
      </c>
      <c r="Q15" s="9">
        <f t="shared" si="8"/>
        <v>417.29999999999995</v>
      </c>
      <c r="R15" s="9">
        <f t="shared" si="9"/>
        <v>406.59999999999997</v>
      </c>
      <c r="S15" s="7">
        <f t="shared" si="10"/>
        <v>0</v>
      </c>
      <c r="T15" s="7">
        <f t="shared" si="11"/>
        <v>42.8</v>
      </c>
      <c r="U15" s="7">
        <f t="shared" si="12"/>
        <v>32.099999999999994</v>
      </c>
      <c r="V15" s="7">
        <f t="shared" si="13"/>
        <v>0</v>
      </c>
      <c r="W15" s="7">
        <f t="shared" si="14"/>
        <v>0</v>
      </c>
      <c r="X15" s="5">
        <f t="shared" si="15"/>
        <v>428</v>
      </c>
      <c r="Y15" s="5">
        <f t="shared" si="16"/>
        <v>556.39999999999986</v>
      </c>
      <c r="Z15" s="5">
        <f t="shared" si="17"/>
        <v>524.29999999999995</v>
      </c>
      <c r="AA15" s="5">
        <f t="shared" si="18"/>
        <v>417.29999999999995</v>
      </c>
      <c r="AB15" s="5">
        <f t="shared" si="19"/>
        <v>406.59999999999997</v>
      </c>
      <c r="AD15" s="14">
        <f t="shared" si="20"/>
        <v>2332.6</v>
      </c>
    </row>
    <row r="16" spans="1:30">
      <c r="A16" t="s">
        <v>18</v>
      </c>
      <c r="B16" t="s">
        <v>35</v>
      </c>
      <c r="C16" s="1">
        <v>9.44</v>
      </c>
      <c r="D16" s="13">
        <v>40</v>
      </c>
      <c r="E16" s="13">
        <v>36</v>
      </c>
      <c r="F16" s="13">
        <v>49</v>
      </c>
      <c r="G16" s="13">
        <v>36</v>
      </c>
      <c r="H16" s="13">
        <v>55</v>
      </c>
      <c r="I16" s="11">
        <f t="shared" si="0"/>
        <v>0</v>
      </c>
      <c r="J16" s="11">
        <f t="shared" si="1"/>
        <v>0</v>
      </c>
      <c r="K16" s="11">
        <f t="shared" si="2"/>
        <v>9</v>
      </c>
      <c r="L16" s="11">
        <f t="shared" si="3"/>
        <v>0</v>
      </c>
      <c r="M16" s="11">
        <f t="shared" si="4"/>
        <v>15</v>
      </c>
      <c r="N16" s="9">
        <f t="shared" si="5"/>
        <v>377.59999999999997</v>
      </c>
      <c r="O16" s="9">
        <f t="shared" si="6"/>
        <v>339.84</v>
      </c>
      <c r="P16" s="9">
        <f t="shared" si="7"/>
        <v>462.56</v>
      </c>
      <c r="Q16" s="9">
        <f t="shared" si="8"/>
        <v>339.84</v>
      </c>
      <c r="R16" s="9">
        <f t="shared" si="9"/>
        <v>519.19999999999993</v>
      </c>
      <c r="S16" s="7">
        <f t="shared" si="10"/>
        <v>0</v>
      </c>
      <c r="T16" s="7">
        <f t="shared" si="11"/>
        <v>0</v>
      </c>
      <c r="U16" s="7">
        <f t="shared" si="12"/>
        <v>42.48</v>
      </c>
      <c r="V16" s="7">
        <f t="shared" si="13"/>
        <v>0</v>
      </c>
      <c r="W16" s="7">
        <f t="shared" si="14"/>
        <v>70.8</v>
      </c>
      <c r="X16" s="5">
        <f t="shared" si="15"/>
        <v>377.59999999999997</v>
      </c>
      <c r="Y16" s="5">
        <f t="shared" si="16"/>
        <v>339.84</v>
      </c>
      <c r="Z16" s="5">
        <f t="shared" si="17"/>
        <v>505.04</v>
      </c>
      <c r="AA16" s="5">
        <f t="shared" si="18"/>
        <v>339.84</v>
      </c>
      <c r="AB16" s="5">
        <f t="shared" si="19"/>
        <v>589.99999999999989</v>
      </c>
      <c r="AD16" s="14">
        <f t="shared" si="20"/>
        <v>2152.3199999999997</v>
      </c>
    </row>
    <row r="17" spans="1:30">
      <c r="A17" t="s">
        <v>19</v>
      </c>
      <c r="B17" t="s">
        <v>36</v>
      </c>
      <c r="C17" s="1">
        <v>9.6</v>
      </c>
      <c r="D17" s="13">
        <v>33</v>
      </c>
      <c r="E17" s="13">
        <v>38</v>
      </c>
      <c r="F17" s="13">
        <v>50</v>
      </c>
      <c r="G17" s="13">
        <v>49</v>
      </c>
      <c r="H17" s="13">
        <v>50</v>
      </c>
      <c r="I17" s="11">
        <f t="shared" si="0"/>
        <v>0</v>
      </c>
      <c r="J17" s="11">
        <f t="shared" si="1"/>
        <v>0</v>
      </c>
      <c r="K17" s="11">
        <f t="shared" si="2"/>
        <v>10</v>
      </c>
      <c r="L17" s="11">
        <f t="shared" si="3"/>
        <v>9</v>
      </c>
      <c r="M17" s="11">
        <f t="shared" si="4"/>
        <v>10</v>
      </c>
      <c r="N17" s="9">
        <f t="shared" si="5"/>
        <v>316.8</v>
      </c>
      <c r="O17" s="9">
        <f t="shared" si="6"/>
        <v>364.8</v>
      </c>
      <c r="P17" s="9">
        <f t="shared" si="7"/>
        <v>480</v>
      </c>
      <c r="Q17" s="9">
        <f t="shared" si="8"/>
        <v>470.4</v>
      </c>
      <c r="R17" s="9">
        <f t="shared" si="9"/>
        <v>480</v>
      </c>
      <c r="S17" s="7">
        <f t="shared" si="10"/>
        <v>0</v>
      </c>
      <c r="T17" s="7">
        <f t="shared" si="11"/>
        <v>0</v>
      </c>
      <c r="U17" s="7">
        <f t="shared" si="12"/>
        <v>48</v>
      </c>
      <c r="V17" s="7">
        <f t="shared" si="13"/>
        <v>43.199999999999996</v>
      </c>
      <c r="W17" s="7">
        <f t="shared" si="14"/>
        <v>48</v>
      </c>
      <c r="X17" s="5">
        <f t="shared" si="15"/>
        <v>316.8</v>
      </c>
      <c r="Y17" s="5">
        <f t="shared" si="16"/>
        <v>364.8</v>
      </c>
      <c r="Z17" s="5">
        <f t="shared" si="17"/>
        <v>528</v>
      </c>
      <c r="AA17" s="5">
        <f t="shared" si="18"/>
        <v>513.6</v>
      </c>
      <c r="AB17" s="5">
        <f t="shared" si="19"/>
        <v>528</v>
      </c>
      <c r="AD17" s="14">
        <f t="shared" si="20"/>
        <v>2251.1999999999998</v>
      </c>
    </row>
    <row r="18" spans="1:30">
      <c r="A18" t="s">
        <v>20</v>
      </c>
      <c r="B18" t="s">
        <v>37</v>
      </c>
      <c r="C18" s="1">
        <v>8.6</v>
      </c>
      <c r="D18" s="13">
        <v>43</v>
      </c>
      <c r="E18" s="13">
        <v>42</v>
      </c>
      <c r="F18" s="13">
        <v>52</v>
      </c>
      <c r="G18" s="13">
        <v>50</v>
      </c>
      <c r="H18" s="13">
        <v>51</v>
      </c>
      <c r="I18" s="11">
        <f t="shared" si="0"/>
        <v>3</v>
      </c>
      <c r="J18" s="11">
        <f t="shared" si="1"/>
        <v>2</v>
      </c>
      <c r="K18" s="11">
        <f t="shared" si="2"/>
        <v>12</v>
      </c>
      <c r="L18" s="11">
        <f t="shared" si="3"/>
        <v>10</v>
      </c>
      <c r="M18" s="11">
        <f t="shared" si="4"/>
        <v>11</v>
      </c>
      <c r="N18" s="9">
        <f t="shared" si="5"/>
        <v>369.8</v>
      </c>
      <c r="O18" s="9">
        <f t="shared" si="6"/>
        <v>361.2</v>
      </c>
      <c r="P18" s="9">
        <f t="shared" si="7"/>
        <v>447.2</v>
      </c>
      <c r="Q18" s="9">
        <f t="shared" si="8"/>
        <v>430</v>
      </c>
      <c r="R18" s="9">
        <f t="shared" si="9"/>
        <v>438.59999999999997</v>
      </c>
      <c r="S18" s="7">
        <f t="shared" si="10"/>
        <v>12.899999999999999</v>
      </c>
      <c r="T18" s="7">
        <f t="shared" si="11"/>
        <v>8.6</v>
      </c>
      <c r="U18" s="7">
        <f t="shared" si="12"/>
        <v>51.599999999999994</v>
      </c>
      <c r="V18" s="7">
        <f t="shared" si="13"/>
        <v>43</v>
      </c>
      <c r="W18" s="7">
        <f t="shared" si="14"/>
        <v>47.3</v>
      </c>
      <c r="X18" s="5">
        <f t="shared" si="15"/>
        <v>382.7</v>
      </c>
      <c r="Y18" s="5">
        <f t="shared" si="16"/>
        <v>369.8</v>
      </c>
      <c r="Z18" s="5">
        <f t="shared" si="17"/>
        <v>498.79999999999995</v>
      </c>
      <c r="AA18" s="5">
        <f t="shared" si="18"/>
        <v>473</v>
      </c>
      <c r="AB18" s="5">
        <f t="shared" si="19"/>
        <v>485.9</v>
      </c>
      <c r="AD18" s="14">
        <f t="shared" si="20"/>
        <v>2210.1999999999998</v>
      </c>
    </row>
    <row r="19" spans="1:30">
      <c r="A19" t="s">
        <v>21</v>
      </c>
      <c r="B19" t="s">
        <v>38</v>
      </c>
      <c r="C19" s="1">
        <v>14.2</v>
      </c>
      <c r="D19" s="13">
        <v>40</v>
      </c>
      <c r="E19" s="13">
        <v>51</v>
      </c>
      <c r="F19" s="13">
        <v>47</v>
      </c>
      <c r="G19" s="13">
        <v>52</v>
      </c>
      <c r="H19" s="13">
        <v>50</v>
      </c>
      <c r="I19" s="11">
        <f t="shared" si="0"/>
        <v>0</v>
      </c>
      <c r="J19" s="11">
        <f t="shared" si="1"/>
        <v>11</v>
      </c>
      <c r="K19" s="11">
        <f t="shared" si="2"/>
        <v>7</v>
      </c>
      <c r="L19" s="11">
        <f t="shared" si="3"/>
        <v>12</v>
      </c>
      <c r="M19" s="11">
        <f t="shared" si="4"/>
        <v>10</v>
      </c>
      <c r="N19" s="9">
        <f t="shared" si="5"/>
        <v>568</v>
      </c>
      <c r="O19" s="9">
        <f t="shared" si="6"/>
        <v>724.19999999999993</v>
      </c>
      <c r="P19" s="9">
        <f t="shared" si="7"/>
        <v>667.4</v>
      </c>
      <c r="Q19" s="9">
        <f t="shared" si="8"/>
        <v>738.4</v>
      </c>
      <c r="R19" s="9">
        <f t="shared" si="9"/>
        <v>710</v>
      </c>
      <c r="S19" s="7">
        <f t="shared" si="10"/>
        <v>0</v>
      </c>
      <c r="T19" s="7">
        <f t="shared" si="11"/>
        <v>78.099999999999994</v>
      </c>
      <c r="U19" s="7">
        <f t="shared" si="12"/>
        <v>49.699999999999996</v>
      </c>
      <c r="V19" s="7">
        <f t="shared" si="13"/>
        <v>85.199999999999989</v>
      </c>
      <c r="W19" s="7">
        <f t="shared" si="14"/>
        <v>71</v>
      </c>
      <c r="X19" s="5">
        <f t="shared" si="15"/>
        <v>568</v>
      </c>
      <c r="Y19" s="5">
        <f t="shared" si="16"/>
        <v>802.3</v>
      </c>
      <c r="Z19" s="5">
        <f t="shared" si="17"/>
        <v>717.1</v>
      </c>
      <c r="AA19" s="5">
        <f t="shared" si="18"/>
        <v>823.59999999999991</v>
      </c>
      <c r="AB19" s="5">
        <f t="shared" si="19"/>
        <v>781</v>
      </c>
      <c r="AD19" s="14">
        <f t="shared" si="20"/>
        <v>3692</v>
      </c>
    </row>
    <row r="20" spans="1:30">
      <c r="A20" t="s">
        <v>22</v>
      </c>
      <c r="B20" t="s">
        <v>39</v>
      </c>
      <c r="C20" s="1">
        <v>30.23</v>
      </c>
      <c r="D20" s="13">
        <v>38</v>
      </c>
      <c r="E20" s="13">
        <v>52</v>
      </c>
      <c r="F20" s="13">
        <v>43</v>
      </c>
      <c r="G20" s="13">
        <v>54</v>
      </c>
      <c r="H20" s="13">
        <v>44</v>
      </c>
      <c r="I20" s="11">
        <f t="shared" si="0"/>
        <v>0</v>
      </c>
      <c r="J20" s="11">
        <f t="shared" si="1"/>
        <v>12</v>
      </c>
      <c r="K20" s="11">
        <f t="shared" si="2"/>
        <v>3</v>
      </c>
      <c r="L20" s="11">
        <f t="shared" si="3"/>
        <v>14</v>
      </c>
      <c r="M20" s="11">
        <f t="shared" si="4"/>
        <v>4</v>
      </c>
      <c r="N20" s="9">
        <f t="shared" si="5"/>
        <v>1148.74</v>
      </c>
      <c r="O20" s="9">
        <f t="shared" si="6"/>
        <v>1571.96</v>
      </c>
      <c r="P20" s="9">
        <f t="shared" si="7"/>
        <v>1299.8900000000001</v>
      </c>
      <c r="Q20" s="9">
        <f t="shared" si="8"/>
        <v>1632.42</v>
      </c>
      <c r="R20" s="9">
        <f t="shared" si="9"/>
        <v>1330.1200000000001</v>
      </c>
      <c r="S20" s="7">
        <f t="shared" si="10"/>
        <v>0</v>
      </c>
      <c r="T20" s="7">
        <f t="shared" si="11"/>
        <v>181.38</v>
      </c>
      <c r="U20" s="7">
        <f t="shared" si="12"/>
        <v>45.344999999999999</v>
      </c>
      <c r="V20" s="7">
        <f t="shared" si="13"/>
        <v>211.61</v>
      </c>
      <c r="W20" s="7">
        <f t="shared" si="14"/>
        <v>60.46</v>
      </c>
      <c r="X20" s="5">
        <f t="shared" si="15"/>
        <v>1148.74</v>
      </c>
      <c r="Y20" s="5">
        <f t="shared" si="16"/>
        <v>1753.3400000000001</v>
      </c>
      <c r="Z20" s="5">
        <f t="shared" si="17"/>
        <v>1345.2350000000001</v>
      </c>
      <c r="AA20" s="5">
        <f t="shared" si="18"/>
        <v>1844.0300000000002</v>
      </c>
      <c r="AB20" s="5">
        <f t="shared" si="19"/>
        <v>1390.5800000000002</v>
      </c>
      <c r="AD20" s="14">
        <f t="shared" si="20"/>
        <v>7481.9250000000011</v>
      </c>
    </row>
    <row r="23" spans="1:30">
      <c r="A23" t="s">
        <v>37</v>
      </c>
      <c r="C23" s="2">
        <f t="shared" ref="C23:AB23" si="21">MAX(C4:C20)</f>
        <v>30.23</v>
      </c>
      <c r="D23" s="3">
        <f t="shared" si="21"/>
        <v>55</v>
      </c>
      <c r="E23" s="3">
        <f t="shared" si="21"/>
        <v>55</v>
      </c>
      <c r="F23" s="3">
        <f t="shared" si="21"/>
        <v>55</v>
      </c>
      <c r="G23" s="3">
        <f t="shared" si="21"/>
        <v>54</v>
      </c>
      <c r="H23" s="3">
        <f t="shared" si="21"/>
        <v>55</v>
      </c>
      <c r="I23" s="3">
        <f t="shared" si="21"/>
        <v>15</v>
      </c>
      <c r="J23" s="3">
        <f t="shared" si="21"/>
        <v>15</v>
      </c>
      <c r="K23" s="3">
        <f t="shared" si="21"/>
        <v>15</v>
      </c>
      <c r="L23" s="3">
        <f t="shared" si="21"/>
        <v>14</v>
      </c>
      <c r="M23" s="3">
        <f t="shared" si="21"/>
        <v>15</v>
      </c>
      <c r="N23" s="2">
        <f t="shared" si="21"/>
        <v>1148.74</v>
      </c>
      <c r="O23" s="2">
        <f t="shared" si="21"/>
        <v>1571.96</v>
      </c>
      <c r="P23" s="2">
        <f t="shared" si="21"/>
        <v>1299.8900000000001</v>
      </c>
      <c r="Q23" s="2">
        <f t="shared" si="21"/>
        <v>1632.42</v>
      </c>
      <c r="R23" s="2">
        <f t="shared" si="21"/>
        <v>1330.1200000000001</v>
      </c>
      <c r="S23" s="2">
        <f t="shared" si="21"/>
        <v>135</v>
      </c>
      <c r="T23" s="2">
        <f t="shared" si="21"/>
        <v>181.38</v>
      </c>
      <c r="U23" s="2">
        <f t="shared" si="21"/>
        <v>135</v>
      </c>
      <c r="V23" s="2">
        <f t="shared" si="21"/>
        <v>211.61</v>
      </c>
      <c r="W23" s="2">
        <f t="shared" si="21"/>
        <v>154</v>
      </c>
      <c r="X23" s="2">
        <f t="shared" si="21"/>
        <v>1177</v>
      </c>
      <c r="Y23" s="2">
        <f t="shared" si="21"/>
        <v>1753.3400000000001</v>
      </c>
      <c r="Z23" s="2">
        <f t="shared" si="21"/>
        <v>1345.2350000000001</v>
      </c>
      <c r="AA23" s="2">
        <f t="shared" si="21"/>
        <v>1844.0300000000002</v>
      </c>
      <c r="AB23" s="2">
        <f t="shared" si="21"/>
        <v>1390.5800000000002</v>
      </c>
      <c r="AD23" s="2">
        <f t="shared" ref="AD23" si="22">MAX(AD4:AD20)</f>
        <v>7481.9250000000011</v>
      </c>
    </row>
    <row r="24" spans="1:30">
      <c r="A24" t="s">
        <v>40</v>
      </c>
      <c r="C24" s="2">
        <f t="shared" ref="C24:AB24" si="23">MIN(C4:C20)</f>
        <v>6.9</v>
      </c>
      <c r="D24" s="3">
        <f t="shared" si="23"/>
        <v>29</v>
      </c>
      <c r="E24" s="3">
        <f t="shared" si="23"/>
        <v>35</v>
      </c>
      <c r="F24" s="3">
        <f t="shared" si="23"/>
        <v>36</v>
      </c>
      <c r="G24" s="3">
        <f t="shared" si="23"/>
        <v>36</v>
      </c>
      <c r="H24" s="3">
        <f t="shared" si="23"/>
        <v>36</v>
      </c>
      <c r="I24" s="3">
        <f t="shared" si="23"/>
        <v>0</v>
      </c>
      <c r="J24" s="3">
        <f t="shared" si="23"/>
        <v>0</v>
      </c>
      <c r="K24" s="3">
        <f t="shared" si="23"/>
        <v>0</v>
      </c>
      <c r="L24" s="3">
        <f t="shared" si="23"/>
        <v>0</v>
      </c>
      <c r="M24" s="3">
        <f t="shared" si="23"/>
        <v>0</v>
      </c>
      <c r="N24" s="2">
        <f t="shared" si="23"/>
        <v>269.10000000000002</v>
      </c>
      <c r="O24" s="2">
        <f t="shared" si="23"/>
        <v>255.3</v>
      </c>
      <c r="P24" s="2">
        <f t="shared" si="23"/>
        <v>296.7</v>
      </c>
      <c r="Q24" s="2">
        <f t="shared" si="23"/>
        <v>324.3</v>
      </c>
      <c r="R24" s="2">
        <f t="shared" si="23"/>
        <v>310.5</v>
      </c>
      <c r="S24" s="2">
        <f t="shared" si="23"/>
        <v>0</v>
      </c>
      <c r="T24" s="2">
        <f t="shared" si="23"/>
        <v>0</v>
      </c>
      <c r="U24" s="2">
        <f t="shared" si="23"/>
        <v>0</v>
      </c>
      <c r="V24" s="2">
        <f t="shared" si="23"/>
        <v>0</v>
      </c>
      <c r="W24" s="2">
        <f t="shared" si="23"/>
        <v>0</v>
      </c>
      <c r="X24" s="2">
        <f t="shared" si="23"/>
        <v>269.10000000000002</v>
      </c>
      <c r="Y24" s="2">
        <f t="shared" si="23"/>
        <v>255.3</v>
      </c>
      <c r="Z24" s="2">
        <f t="shared" si="23"/>
        <v>307.05</v>
      </c>
      <c r="AA24" s="2">
        <f t="shared" si="23"/>
        <v>339.84</v>
      </c>
      <c r="AB24" s="2">
        <f t="shared" si="23"/>
        <v>327.75</v>
      </c>
      <c r="AD24" s="2">
        <f t="shared" ref="AD24" si="24">MIN(AD4:AD20)</f>
        <v>1507.65</v>
      </c>
    </row>
    <row r="25" spans="1:30">
      <c r="A25" t="s">
        <v>41</v>
      </c>
      <c r="C25" s="2">
        <f t="shared" ref="C25:AB25" si="25">AVERAGE(C4:C20)</f>
        <v>14.498235294117645</v>
      </c>
      <c r="D25" s="3">
        <f t="shared" si="25"/>
        <v>40.470588235294116</v>
      </c>
      <c r="E25" s="3">
        <f t="shared" si="25"/>
        <v>43.941176470588232</v>
      </c>
      <c r="F25" s="3">
        <f t="shared" si="25"/>
        <v>45.941176470588232</v>
      </c>
      <c r="G25" s="3">
        <f t="shared" si="25"/>
        <v>44.882352941176471</v>
      </c>
      <c r="H25" s="3">
        <f t="shared" si="25"/>
        <v>46.882352941176471</v>
      </c>
      <c r="I25" s="3">
        <f t="shared" si="25"/>
        <v>2.1176470588235294</v>
      </c>
      <c r="J25" s="3">
        <f t="shared" si="25"/>
        <v>5</v>
      </c>
      <c r="K25" s="3">
        <f t="shared" si="25"/>
        <v>6.2352941176470589</v>
      </c>
      <c r="L25" s="3">
        <f t="shared" si="25"/>
        <v>5.4705882352941178</v>
      </c>
      <c r="M25" s="3">
        <f t="shared" si="25"/>
        <v>7.4117647058823533</v>
      </c>
      <c r="N25" s="2">
        <f t="shared" si="25"/>
        <v>591.33764705882356</v>
      </c>
      <c r="O25" s="2">
        <f t="shared" si="25"/>
        <v>650.36470588235295</v>
      </c>
      <c r="P25" s="2">
        <f t="shared" si="25"/>
        <v>661.79705882352937</v>
      </c>
      <c r="Q25" s="2">
        <f t="shared" si="25"/>
        <v>662.29176470588231</v>
      </c>
      <c r="R25" s="2">
        <f t="shared" si="25"/>
        <v>678.18352941176488</v>
      </c>
      <c r="S25" s="2">
        <f t="shared" si="25"/>
        <v>18.020588235294117</v>
      </c>
      <c r="T25" s="2">
        <f t="shared" si="25"/>
        <v>42.322352941176469</v>
      </c>
      <c r="U25" s="2">
        <f t="shared" si="25"/>
        <v>43.401470588235306</v>
      </c>
      <c r="V25" s="2">
        <f t="shared" si="25"/>
        <v>44.324117647058827</v>
      </c>
      <c r="W25" s="2">
        <f t="shared" si="25"/>
        <v>52.888823529411759</v>
      </c>
      <c r="X25" s="2">
        <f t="shared" si="25"/>
        <v>609.35823529411766</v>
      </c>
      <c r="Y25" s="2">
        <f t="shared" si="25"/>
        <v>692.68705882352924</v>
      </c>
      <c r="Z25" s="2">
        <f t="shared" si="25"/>
        <v>705.19852941176487</v>
      </c>
      <c r="AA25" s="2">
        <f t="shared" si="25"/>
        <v>706.6158823529413</v>
      </c>
      <c r="AB25" s="2">
        <f t="shared" si="25"/>
        <v>731.0723529411764</v>
      </c>
      <c r="AD25" s="2">
        <f t="shared" ref="AD25" si="26">AVERAGE(AD4:AD20)</f>
        <v>3444.9320588235296</v>
      </c>
    </row>
    <row r="26" spans="1:30">
      <c r="A26" t="s">
        <v>42</v>
      </c>
      <c r="C26" s="2"/>
      <c r="D26" s="3">
        <f t="shared" ref="D26:AB26" si="27">SUM(D4:D20)</f>
        <v>688</v>
      </c>
      <c r="E26" s="3">
        <f t="shared" si="27"/>
        <v>747</v>
      </c>
      <c r="F26" s="3">
        <f t="shared" si="27"/>
        <v>781</v>
      </c>
      <c r="G26" s="3">
        <f t="shared" si="27"/>
        <v>763</v>
      </c>
      <c r="H26" s="3">
        <f t="shared" si="27"/>
        <v>797</v>
      </c>
      <c r="I26" s="3">
        <f t="shared" si="27"/>
        <v>36</v>
      </c>
      <c r="J26" s="3">
        <f t="shared" si="27"/>
        <v>85</v>
      </c>
      <c r="K26" s="3">
        <f t="shared" si="27"/>
        <v>106</v>
      </c>
      <c r="L26" s="3">
        <f t="shared" si="27"/>
        <v>93</v>
      </c>
      <c r="M26" s="3">
        <f t="shared" si="27"/>
        <v>126</v>
      </c>
      <c r="N26" s="2">
        <f t="shared" si="27"/>
        <v>10052.74</v>
      </c>
      <c r="O26" s="2">
        <f t="shared" si="27"/>
        <v>11056.2</v>
      </c>
      <c r="P26" s="2">
        <f t="shared" si="27"/>
        <v>11250.55</v>
      </c>
      <c r="Q26" s="2">
        <f t="shared" si="27"/>
        <v>11258.96</v>
      </c>
      <c r="R26" s="2">
        <f t="shared" si="27"/>
        <v>11529.120000000003</v>
      </c>
      <c r="S26" s="2">
        <f t="shared" si="27"/>
        <v>306.34999999999997</v>
      </c>
      <c r="T26" s="2">
        <f t="shared" si="27"/>
        <v>719.48</v>
      </c>
      <c r="U26" s="2">
        <f t="shared" si="27"/>
        <v>737.82500000000016</v>
      </c>
      <c r="V26" s="2">
        <f t="shared" si="27"/>
        <v>753.5100000000001</v>
      </c>
      <c r="W26" s="2">
        <f t="shared" si="27"/>
        <v>899.1099999999999</v>
      </c>
      <c r="X26" s="2">
        <f t="shared" si="27"/>
        <v>10359.09</v>
      </c>
      <c r="Y26" s="2">
        <f t="shared" si="27"/>
        <v>11775.679999999997</v>
      </c>
      <c r="Z26" s="2">
        <f t="shared" si="27"/>
        <v>11988.375000000002</v>
      </c>
      <c r="AA26" s="2">
        <f t="shared" si="27"/>
        <v>12012.470000000001</v>
      </c>
      <c r="AB26" s="2">
        <f t="shared" si="27"/>
        <v>12428.23</v>
      </c>
      <c r="AD26" s="2">
        <f t="shared" ref="AD26" si="28">SUM(AD4:AD20)</f>
        <v>58563.845000000001</v>
      </c>
    </row>
  </sheetData>
  <mergeCells count="5">
    <mergeCell ref="D2:H2"/>
    <mergeCell ref="I2:M2"/>
    <mergeCell ref="N2:R2"/>
    <mergeCell ref="S2:W2"/>
    <mergeCell ref="X2:AB2"/>
  </mergeCells>
  <pageMargins left="0.7" right="0.7" top="0.75" bottom="0.75" header="0.3" footer="0.3"/>
  <pageSetup paperSize="9" fitToWidth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AB03-CA72-4223-A10E-BAD5DFB6C2F9}">
  <dimension ref="A1:E13"/>
  <sheetViews>
    <sheetView workbookViewId="0">
      <selection activeCell="E18" sqref="E18"/>
    </sheetView>
  </sheetViews>
  <sheetFormatPr defaultRowHeight="14.5"/>
  <cols>
    <col min="1" max="1" width="18.90625" customWidth="1"/>
    <col min="2" max="3" width="11.26953125" customWidth="1"/>
    <col min="4" max="4" width="18.453125" customWidth="1"/>
    <col min="5" max="5" width="18.7265625" customWidth="1"/>
  </cols>
  <sheetData>
    <row r="1" spans="1:5">
      <c r="A1" t="s">
        <v>297</v>
      </c>
      <c r="B1" t="s">
        <v>298</v>
      </c>
      <c r="C1" t="s">
        <v>299</v>
      </c>
      <c r="D1" t="s">
        <v>307</v>
      </c>
      <c r="E1" t="s">
        <v>308</v>
      </c>
    </row>
    <row r="2" spans="1:5">
      <c r="A2" t="s">
        <v>296</v>
      </c>
      <c r="B2" s="2">
        <v>90</v>
      </c>
      <c r="C2" s="2">
        <v>50</v>
      </c>
      <c r="D2" s="2">
        <v>0</v>
      </c>
      <c r="E2" s="2">
        <v>0</v>
      </c>
    </row>
    <row r="3" spans="1:5">
      <c r="A3" t="s">
        <v>300</v>
      </c>
      <c r="B3" s="2">
        <v>2</v>
      </c>
      <c r="C3" s="2">
        <v>2.5</v>
      </c>
      <c r="D3" s="2">
        <v>0</v>
      </c>
      <c r="E3" s="2">
        <v>0</v>
      </c>
    </row>
    <row r="4" spans="1:5">
      <c r="A4" t="s">
        <v>306</v>
      </c>
      <c r="B4" s="2">
        <v>4.5</v>
      </c>
      <c r="C4" s="2">
        <v>5.5</v>
      </c>
      <c r="D4" s="2">
        <v>0</v>
      </c>
      <c r="E4" s="2">
        <v>0</v>
      </c>
    </row>
    <row r="5" spans="1:5">
      <c r="A5" t="s">
        <v>301</v>
      </c>
      <c r="B5" s="2">
        <v>7</v>
      </c>
      <c r="C5" s="2">
        <v>7</v>
      </c>
      <c r="D5" s="2">
        <v>0</v>
      </c>
      <c r="E5" s="2">
        <v>0</v>
      </c>
    </row>
    <row r="6" spans="1:5">
      <c r="A6" t="s">
        <v>302</v>
      </c>
      <c r="B6" s="2">
        <v>0</v>
      </c>
      <c r="C6" s="2">
        <v>3</v>
      </c>
      <c r="D6" s="2">
        <v>0</v>
      </c>
      <c r="E6" s="2">
        <v>0</v>
      </c>
    </row>
    <row r="7" spans="1:5">
      <c r="A7" t="s">
        <v>303</v>
      </c>
      <c r="B7" s="2">
        <v>11</v>
      </c>
      <c r="C7" s="2">
        <v>21</v>
      </c>
      <c r="D7" s="2">
        <f>B7*2</f>
        <v>22</v>
      </c>
      <c r="E7" s="2">
        <f>C7*2</f>
        <v>42</v>
      </c>
    </row>
    <row r="8" spans="1:5">
      <c r="A8" t="s">
        <v>305</v>
      </c>
      <c r="B8" s="2">
        <v>8</v>
      </c>
      <c r="C8" s="2">
        <v>0</v>
      </c>
      <c r="D8" s="2">
        <f>B8*2</f>
        <v>16</v>
      </c>
      <c r="E8" s="2">
        <v>0</v>
      </c>
    </row>
    <row r="9" spans="1:5">
      <c r="A9" t="s">
        <v>304</v>
      </c>
      <c r="B9" s="2">
        <v>0</v>
      </c>
      <c r="C9" s="2">
        <v>3</v>
      </c>
      <c r="D9" s="2">
        <v>0</v>
      </c>
      <c r="E9" s="2">
        <f>C9*2</f>
        <v>6</v>
      </c>
    </row>
    <row r="10" spans="1:5">
      <c r="A10" t="s">
        <v>309</v>
      </c>
      <c r="B10" s="2"/>
      <c r="C10" s="2"/>
      <c r="D10" s="2">
        <f>SUM(D2:D9)</f>
        <v>38</v>
      </c>
      <c r="E10" s="2">
        <f>SUM(E2:E9)</f>
        <v>48</v>
      </c>
    </row>
    <row r="12" spans="1:5">
      <c r="A12" t="s">
        <v>310</v>
      </c>
      <c r="B12" s="2">
        <f>SUM(B2:B5)+(D10*12)</f>
        <v>559.5</v>
      </c>
    </row>
    <row r="13" spans="1:5">
      <c r="A13" t="s">
        <v>311</v>
      </c>
      <c r="B13" s="2">
        <f>SUM(C2:C6)+(E10*12)</f>
        <v>644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7185-90CA-4430-B545-3C1D70C3DB51}">
  <dimension ref="A1:J24"/>
  <sheetViews>
    <sheetView workbookViewId="0">
      <selection activeCell="H35" sqref="H35"/>
    </sheetView>
  </sheetViews>
  <sheetFormatPr defaultRowHeight="14.5"/>
  <cols>
    <col min="1" max="1" width="17.6328125" customWidth="1"/>
    <col min="2" max="2" width="17.26953125" customWidth="1"/>
    <col min="3" max="3" width="26.08984375" customWidth="1"/>
    <col min="4" max="4" width="9.90625" bestFit="1" customWidth="1"/>
    <col min="5" max="5" width="20" customWidth="1"/>
    <col min="6" max="6" width="9.90625" bestFit="1" customWidth="1"/>
    <col min="7" max="7" width="22.81640625" customWidth="1"/>
    <col min="8" max="8" width="9.90625" bestFit="1" customWidth="1"/>
    <col min="9" max="9" width="19.1796875" customWidth="1"/>
    <col min="10" max="10" width="9.90625" bestFit="1" customWidth="1"/>
  </cols>
  <sheetData>
    <row r="1" spans="1:10">
      <c r="A1" t="s">
        <v>312</v>
      </c>
      <c r="B1" t="s">
        <v>393</v>
      </c>
      <c r="C1" t="s">
        <v>394</v>
      </c>
    </row>
    <row r="3" spans="1:10">
      <c r="C3" s="53" t="s">
        <v>315</v>
      </c>
      <c r="D3" s="53"/>
      <c r="E3" s="53"/>
      <c r="F3" s="53"/>
      <c r="G3" s="50" t="s">
        <v>326</v>
      </c>
      <c r="H3" s="50"/>
      <c r="I3" s="50"/>
      <c r="J3" s="50"/>
    </row>
    <row r="4" spans="1:10">
      <c r="C4" s="52" t="s">
        <v>317</v>
      </c>
      <c r="D4" s="47">
        <v>18</v>
      </c>
      <c r="E4" s="26" t="s">
        <v>401</v>
      </c>
      <c r="F4" s="26"/>
      <c r="G4" s="49" t="s">
        <v>327</v>
      </c>
      <c r="H4" s="7">
        <v>99</v>
      </c>
      <c r="I4" s="49" t="s">
        <v>323</v>
      </c>
      <c r="J4" s="49"/>
    </row>
    <row r="5" spans="1:10">
      <c r="C5" s="26" t="s">
        <v>318</v>
      </c>
      <c r="D5" s="47">
        <v>25</v>
      </c>
      <c r="E5" s="26"/>
      <c r="F5" s="26"/>
      <c r="G5" s="49" t="s">
        <v>328</v>
      </c>
      <c r="H5" s="7">
        <v>95</v>
      </c>
      <c r="I5" s="49"/>
      <c r="J5" s="49"/>
    </row>
    <row r="6" spans="1:10">
      <c r="C6" s="26" t="s">
        <v>319</v>
      </c>
      <c r="D6" s="47">
        <v>15</v>
      </c>
      <c r="E6" s="26"/>
      <c r="F6" s="26"/>
      <c r="G6" s="49" t="s">
        <v>329</v>
      </c>
      <c r="H6" s="7">
        <v>85</v>
      </c>
      <c r="I6" s="49"/>
      <c r="J6" s="49"/>
    </row>
    <row r="7" spans="1:10">
      <c r="A7" s="55" t="s">
        <v>313</v>
      </c>
      <c r="B7" s="55"/>
      <c r="C7" s="26" t="s">
        <v>338</v>
      </c>
      <c r="D7" s="47">
        <v>9</v>
      </c>
      <c r="E7" s="26"/>
      <c r="F7" s="26"/>
      <c r="G7" s="49" t="s">
        <v>330</v>
      </c>
      <c r="H7" s="7">
        <v>85</v>
      </c>
      <c r="I7" s="49"/>
      <c r="J7" s="49"/>
    </row>
    <row r="8" spans="1:10">
      <c r="A8" s="54" t="s">
        <v>400</v>
      </c>
      <c r="B8" s="48">
        <v>550</v>
      </c>
      <c r="C8" s="26" t="s">
        <v>320</v>
      </c>
      <c r="D8" s="47">
        <v>40</v>
      </c>
      <c r="E8" s="26">
        <v>4</v>
      </c>
      <c r="F8" s="47">
        <f>D8*E8</f>
        <v>160</v>
      </c>
      <c r="G8" s="49" t="s">
        <v>337</v>
      </c>
      <c r="H8" s="7">
        <v>0</v>
      </c>
      <c r="I8" s="49">
        <v>4</v>
      </c>
      <c r="J8" s="7">
        <f>H8*I8</f>
        <v>0</v>
      </c>
    </row>
    <row r="9" spans="1:10">
      <c r="A9" s="54" t="s">
        <v>314</v>
      </c>
      <c r="B9" s="48">
        <v>0</v>
      </c>
      <c r="C9" s="26" t="s">
        <v>321</v>
      </c>
      <c r="D9" s="47">
        <v>120</v>
      </c>
      <c r="E9" s="26">
        <v>5</v>
      </c>
      <c r="F9" s="47">
        <f t="shared" ref="F9:F10" si="0">D9*E9</f>
        <v>600</v>
      </c>
      <c r="G9" s="49" t="s">
        <v>331</v>
      </c>
      <c r="H9" s="7">
        <v>105</v>
      </c>
      <c r="I9" s="49">
        <v>5</v>
      </c>
      <c r="J9" s="7">
        <f t="shared" ref="J9:J10" si="1">H9*I9</f>
        <v>525</v>
      </c>
    </row>
    <row r="10" spans="1:10">
      <c r="A10" s="54" t="s">
        <v>320</v>
      </c>
      <c r="B10" s="48">
        <v>0</v>
      </c>
      <c r="C10" s="26" t="s">
        <v>322</v>
      </c>
      <c r="D10" s="47">
        <v>50</v>
      </c>
      <c r="E10" s="26">
        <v>8</v>
      </c>
      <c r="F10" s="47">
        <f t="shared" si="0"/>
        <v>400</v>
      </c>
      <c r="G10" s="49" t="s">
        <v>322</v>
      </c>
      <c r="H10" s="7">
        <v>50</v>
      </c>
      <c r="I10" s="49">
        <v>8</v>
      </c>
      <c r="J10" s="7">
        <f t="shared" si="1"/>
        <v>400</v>
      </c>
    </row>
    <row r="11" spans="1:10">
      <c r="A11" s="54" t="s">
        <v>316</v>
      </c>
      <c r="B11" s="48">
        <v>0</v>
      </c>
      <c r="C11" s="26" t="s">
        <v>399</v>
      </c>
      <c r="D11" s="47">
        <v>280</v>
      </c>
      <c r="E11" s="26"/>
      <c r="F11" s="47"/>
      <c r="G11" s="49" t="s">
        <v>399</v>
      </c>
      <c r="H11" s="7">
        <v>100</v>
      </c>
      <c r="I11" s="49"/>
      <c r="J11" s="7"/>
    </row>
    <row r="12" spans="1:10">
      <c r="A12" s="54" t="s">
        <v>399</v>
      </c>
      <c r="B12" s="48">
        <v>350</v>
      </c>
      <c r="C12" s="26" t="s">
        <v>324</v>
      </c>
      <c r="D12" s="47">
        <f>SUM(D4:D7)</f>
        <v>67</v>
      </c>
      <c r="E12" s="26" t="s">
        <v>332</v>
      </c>
      <c r="F12" s="47">
        <f>SUM(F8:F10)</f>
        <v>1160</v>
      </c>
      <c r="G12" s="49" t="s">
        <v>324</v>
      </c>
      <c r="H12" s="7">
        <f>SUM(H4:H7)</f>
        <v>364</v>
      </c>
      <c r="I12" s="49" t="s">
        <v>332</v>
      </c>
      <c r="J12" s="7">
        <f>J9+J10</f>
        <v>925</v>
      </c>
    </row>
    <row r="13" spans="1:10">
      <c r="A13" s="54" t="s">
        <v>325</v>
      </c>
      <c r="B13" s="48">
        <f>(B8+B12)*2</f>
        <v>1800</v>
      </c>
      <c r="C13" s="26" t="s">
        <v>325</v>
      </c>
      <c r="D13" s="47">
        <f>D12+F12+F13</f>
        <v>1787</v>
      </c>
      <c r="E13" s="26" t="s">
        <v>398</v>
      </c>
      <c r="F13" s="47">
        <f>D11*2</f>
        <v>560</v>
      </c>
      <c r="G13" s="49" t="s">
        <v>325</v>
      </c>
      <c r="H13" s="7">
        <f>H12+J13+J12</f>
        <v>1489</v>
      </c>
      <c r="I13" s="49" t="s">
        <v>398</v>
      </c>
      <c r="J13" s="7">
        <f>H11*2</f>
        <v>200</v>
      </c>
    </row>
    <row r="14" spans="1:10">
      <c r="A14" s="54" t="s">
        <v>395</v>
      </c>
      <c r="B14" s="44">
        <f>(B8+B12)*3</f>
        <v>2700</v>
      </c>
      <c r="C14" s="26" t="s">
        <v>395</v>
      </c>
      <c r="D14" s="43">
        <f>D13+D11+(D10*4)</f>
        <v>2267</v>
      </c>
      <c r="G14" s="49" t="s">
        <v>395</v>
      </c>
      <c r="H14" s="7">
        <f>H13+H11+(H10*4)</f>
        <v>1789</v>
      </c>
    </row>
    <row r="15" spans="1:10">
      <c r="A15" s="45" t="s">
        <v>291</v>
      </c>
      <c r="B15" s="45"/>
    </row>
    <row r="16" spans="1:10">
      <c r="A16" s="51" t="s">
        <v>333</v>
      </c>
      <c r="B16" t="s">
        <v>396</v>
      </c>
    </row>
    <row r="17" spans="1:2">
      <c r="A17" s="51" t="s">
        <v>334</v>
      </c>
      <c r="B17" s="2">
        <f>B13</f>
        <v>1800</v>
      </c>
    </row>
    <row r="18" spans="1:2">
      <c r="A18" s="51" t="s">
        <v>335</v>
      </c>
      <c r="B18" s="2">
        <f>D13</f>
        <v>1787</v>
      </c>
    </row>
    <row r="19" spans="1:2">
      <c r="A19" s="51" t="s">
        <v>336</v>
      </c>
      <c r="B19" s="2">
        <f>H13</f>
        <v>1489</v>
      </c>
    </row>
    <row r="20" spans="1:2">
      <c r="A20" s="45" t="s">
        <v>292</v>
      </c>
      <c r="B20" s="45"/>
    </row>
    <row r="21" spans="1:2">
      <c r="A21" s="51" t="s">
        <v>333</v>
      </c>
      <c r="B21" t="s">
        <v>397</v>
      </c>
    </row>
    <row r="22" spans="1:2">
      <c r="A22" s="51" t="s">
        <v>334</v>
      </c>
      <c r="B22" s="2">
        <f>B14</f>
        <v>2700</v>
      </c>
    </row>
    <row r="23" spans="1:2">
      <c r="A23" s="51" t="s">
        <v>335</v>
      </c>
      <c r="B23" s="2">
        <f>D14</f>
        <v>2267</v>
      </c>
    </row>
    <row r="24" spans="1:2">
      <c r="A24" s="51" t="s">
        <v>336</v>
      </c>
      <c r="B24" s="2">
        <f>H14</f>
        <v>1789</v>
      </c>
    </row>
  </sheetData>
  <mergeCells count="5">
    <mergeCell ref="A7:B7"/>
    <mergeCell ref="C3:F3"/>
    <mergeCell ref="G3:J3"/>
    <mergeCell ref="A15:B15"/>
    <mergeCell ref="A20:B2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4F3B-A02C-49D6-9A34-50C2991B7981}">
  <dimension ref="A1:J8"/>
  <sheetViews>
    <sheetView workbookViewId="0">
      <selection activeCell="G5" sqref="G5"/>
    </sheetView>
  </sheetViews>
  <sheetFormatPr defaultRowHeight="14.5"/>
  <cols>
    <col min="1" max="1" width="13.36328125" customWidth="1"/>
    <col min="2" max="2" width="12.1796875" customWidth="1"/>
    <col min="3" max="3" width="12.08984375" customWidth="1"/>
    <col min="4" max="4" width="16.08984375" customWidth="1"/>
    <col min="5" max="5" width="21.7265625" customWidth="1"/>
    <col min="6" max="6" width="24.54296875" customWidth="1"/>
    <col min="7" max="7" width="12.81640625" customWidth="1"/>
    <col min="8" max="8" width="20" customWidth="1"/>
    <col min="9" max="9" width="23.36328125" customWidth="1"/>
    <col min="10" max="10" width="11.90625" customWidth="1"/>
  </cols>
  <sheetData>
    <row r="1" spans="1:10">
      <c r="A1" t="s">
        <v>339</v>
      </c>
    </row>
    <row r="2" spans="1:10">
      <c r="A2" t="s">
        <v>291</v>
      </c>
      <c r="B2" s="56" t="s">
        <v>340</v>
      </c>
      <c r="C2" s="56"/>
      <c r="D2" s="56"/>
      <c r="E2" s="56"/>
    </row>
    <row r="3" spans="1:10">
      <c r="A3" t="s">
        <v>292</v>
      </c>
      <c r="B3" s="56" t="s">
        <v>341</v>
      </c>
      <c r="C3" s="56"/>
      <c r="D3" s="56"/>
      <c r="E3" s="56"/>
    </row>
    <row r="5" spans="1:10">
      <c r="A5" t="s">
        <v>342</v>
      </c>
      <c r="B5" t="s">
        <v>343</v>
      </c>
      <c r="C5" t="s">
        <v>344</v>
      </c>
      <c r="D5" t="s">
        <v>345</v>
      </c>
      <c r="E5" t="s">
        <v>349</v>
      </c>
      <c r="F5" t="s">
        <v>348</v>
      </c>
      <c r="G5" t="s">
        <v>346</v>
      </c>
      <c r="H5" t="s">
        <v>350</v>
      </c>
      <c r="I5" t="s">
        <v>351</v>
      </c>
      <c r="J5" t="s">
        <v>347</v>
      </c>
    </row>
    <row r="6" spans="1:10">
      <c r="A6" t="s">
        <v>352</v>
      </c>
      <c r="B6" s="2">
        <v>29</v>
      </c>
      <c r="C6" s="2">
        <v>40</v>
      </c>
      <c r="D6">
        <v>200</v>
      </c>
      <c r="E6">
        <f>15*5*52*2</f>
        <v>7800</v>
      </c>
      <c r="F6" s="2">
        <f>IF(D6&gt;E6,C6,ROUNDUP((E6/D6),0)*C6)</f>
        <v>1560</v>
      </c>
      <c r="G6" s="2">
        <f>F6+B6</f>
        <v>1589</v>
      </c>
      <c r="H6">
        <f>500*5*52*2</f>
        <v>260000</v>
      </c>
      <c r="I6" s="2">
        <f>IF(D6&gt;H6,C6,ROUNDUP((H6/D6),0)*C6)</f>
        <v>52000</v>
      </c>
      <c r="J6" s="2">
        <f>I6+B6</f>
        <v>52029</v>
      </c>
    </row>
    <row r="7" spans="1:10">
      <c r="A7" t="s">
        <v>353</v>
      </c>
      <c r="B7" s="2">
        <v>549</v>
      </c>
      <c r="C7" s="2">
        <v>370</v>
      </c>
      <c r="D7">
        <v>11000</v>
      </c>
      <c r="E7">
        <f t="shared" ref="E7:E8" si="0">15*5*52*2</f>
        <v>7800</v>
      </c>
      <c r="F7" s="2">
        <f t="shared" ref="F7:F8" si="1">IF(D7&gt;E7,C7,ROUNDUP((E7/D7),0)*C7)</f>
        <v>370</v>
      </c>
      <c r="G7" s="2">
        <f t="shared" ref="G7:G8" si="2">F7+B7</f>
        <v>919</v>
      </c>
      <c r="H7">
        <f t="shared" ref="H7:H8" si="3">500*5*52*2</f>
        <v>260000</v>
      </c>
      <c r="I7" s="2">
        <f t="shared" ref="I7:I8" si="4">IF(D7&gt;H7,C7,ROUNDUP((H7/D7),0)*C7)</f>
        <v>8880</v>
      </c>
      <c r="J7" s="2">
        <f t="shared" ref="J7:J8" si="5">I7+B7</f>
        <v>9429</v>
      </c>
    </row>
    <row r="8" spans="1:10">
      <c r="A8" t="s">
        <v>354</v>
      </c>
      <c r="B8" s="2">
        <v>149</v>
      </c>
      <c r="C8" s="2">
        <v>90</v>
      </c>
      <c r="D8">
        <v>1000</v>
      </c>
      <c r="E8">
        <f t="shared" si="0"/>
        <v>7800</v>
      </c>
      <c r="F8" s="2">
        <f t="shared" si="1"/>
        <v>720</v>
      </c>
      <c r="G8" s="2">
        <f t="shared" si="2"/>
        <v>869</v>
      </c>
      <c r="H8">
        <f t="shared" si="3"/>
        <v>260000</v>
      </c>
      <c r="I8" s="2">
        <f t="shared" si="4"/>
        <v>23400</v>
      </c>
      <c r="J8" s="2">
        <f t="shared" si="5"/>
        <v>23549</v>
      </c>
    </row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C444-B2D0-4FBA-B6BA-641084587E8D}">
  <dimension ref="A1:M8"/>
  <sheetViews>
    <sheetView tabSelected="1" topLeftCell="C3" workbookViewId="0">
      <selection activeCell="N17" sqref="N17"/>
    </sheetView>
  </sheetViews>
  <sheetFormatPr defaultRowHeight="14.5"/>
  <cols>
    <col min="1" max="1" width="13.7265625" customWidth="1"/>
    <col min="2" max="2" width="18.26953125" customWidth="1"/>
    <col min="3" max="3" width="24.36328125" customWidth="1"/>
    <col min="4" max="4" width="17.7265625" customWidth="1"/>
    <col min="5" max="5" width="9.26953125" customWidth="1"/>
    <col min="6" max="6" width="4.54296875" customWidth="1"/>
    <col min="7" max="7" width="9.6328125" customWidth="1"/>
    <col min="8" max="8" width="10.90625" customWidth="1"/>
    <col min="9" max="9" width="11.1796875" customWidth="1"/>
    <col min="10" max="10" width="13.453125" customWidth="1"/>
    <col min="11" max="11" width="19.453125" customWidth="1"/>
    <col min="12" max="12" width="9.36328125" customWidth="1"/>
    <col min="13" max="13" width="18" customWidth="1"/>
  </cols>
  <sheetData>
    <row r="1" spans="1:13">
      <c r="A1" t="s">
        <v>355</v>
      </c>
    </row>
    <row r="2" spans="1:13">
      <c r="A2" t="s">
        <v>291</v>
      </c>
      <c r="B2" t="s">
        <v>356</v>
      </c>
    </row>
    <row r="3" spans="1:13">
      <c r="A3" t="s">
        <v>292</v>
      </c>
      <c r="B3" t="s">
        <v>357</v>
      </c>
    </row>
    <row r="5" spans="1:13">
      <c r="A5" t="s">
        <v>358</v>
      </c>
      <c r="B5" t="s">
        <v>367</v>
      </c>
      <c r="C5" t="s">
        <v>366</v>
      </c>
      <c r="D5" t="s">
        <v>368</v>
      </c>
      <c r="E5" t="s">
        <v>369</v>
      </c>
      <c r="F5" t="s">
        <v>370</v>
      </c>
      <c r="G5" t="s">
        <v>371</v>
      </c>
      <c r="H5" t="s">
        <v>402</v>
      </c>
      <c r="I5" t="s">
        <v>364</v>
      </c>
      <c r="J5" t="s">
        <v>372</v>
      </c>
      <c r="K5" t="s">
        <v>362</v>
      </c>
      <c r="L5" t="s">
        <v>365</v>
      </c>
      <c r="M5" t="s">
        <v>363</v>
      </c>
    </row>
    <row r="6" spans="1:13">
      <c r="A6" t="s">
        <v>359</v>
      </c>
      <c r="B6" s="2">
        <v>30</v>
      </c>
      <c r="C6" s="2">
        <v>20</v>
      </c>
      <c r="D6" s="2">
        <v>9.5</v>
      </c>
      <c r="E6" s="2">
        <v>19</v>
      </c>
      <c r="F6" s="31">
        <v>24</v>
      </c>
      <c r="G6" s="31">
        <v>1</v>
      </c>
      <c r="H6" s="2">
        <v>0</v>
      </c>
      <c r="I6" s="31">
        <v>3</v>
      </c>
      <c r="J6" s="2">
        <f>B6+D6+E6</f>
        <v>58.5</v>
      </c>
      <c r="K6" s="2">
        <f>(($J6+(C6*2))*$F6)+H6</f>
        <v>2364</v>
      </c>
      <c r="L6" s="31">
        <v>1</v>
      </c>
      <c r="M6" s="2">
        <f>(($J6)*$F6)+H6</f>
        <v>1404</v>
      </c>
    </row>
    <row r="7" spans="1:13">
      <c r="A7" t="s">
        <v>360</v>
      </c>
      <c r="B7" s="2">
        <v>0</v>
      </c>
      <c r="C7" s="2">
        <v>15</v>
      </c>
      <c r="D7" s="2">
        <v>0</v>
      </c>
      <c r="E7" s="2">
        <v>35</v>
      </c>
      <c r="F7" s="31">
        <v>24</v>
      </c>
      <c r="G7" s="31">
        <v>1</v>
      </c>
      <c r="H7" s="2">
        <v>500</v>
      </c>
      <c r="I7" s="31">
        <v>3</v>
      </c>
      <c r="J7" s="2">
        <f>E7+B7+D7</f>
        <v>35</v>
      </c>
      <c r="K7" s="2">
        <f t="shared" ref="K7:K8" si="0">(($J7+(C7*2))*$F7)+H7</f>
        <v>2060</v>
      </c>
      <c r="L7" s="31">
        <v>1</v>
      </c>
      <c r="M7" s="2">
        <f t="shared" ref="M7:M8" si="1">(($J7)*$F7)+H7</f>
        <v>1340</v>
      </c>
    </row>
    <row r="8" spans="1:13">
      <c r="A8" t="s">
        <v>361</v>
      </c>
      <c r="B8" s="2">
        <v>0</v>
      </c>
      <c r="C8" s="2">
        <v>5</v>
      </c>
      <c r="D8" s="2">
        <v>0</v>
      </c>
      <c r="E8" s="2">
        <v>55</v>
      </c>
      <c r="F8" s="31">
        <v>24</v>
      </c>
      <c r="G8" s="31">
        <v>1</v>
      </c>
      <c r="H8" s="2">
        <v>0</v>
      </c>
      <c r="I8" s="31">
        <v>3</v>
      </c>
      <c r="J8" s="2">
        <f>E8+D8+B8</f>
        <v>55</v>
      </c>
      <c r="K8" s="2">
        <f t="shared" si="0"/>
        <v>1560</v>
      </c>
      <c r="L8" s="31">
        <v>1</v>
      </c>
      <c r="M8" s="2">
        <f t="shared" si="1"/>
        <v>1320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51F0-672C-4F65-8888-F37CBED8475E}">
  <dimension ref="A1:O8"/>
  <sheetViews>
    <sheetView topLeftCell="A4" workbookViewId="0">
      <selection activeCell="E8" sqref="E8"/>
    </sheetView>
  </sheetViews>
  <sheetFormatPr defaultRowHeight="14.5"/>
  <cols>
    <col min="1" max="1" width="15.1796875" customWidth="1"/>
    <col min="2" max="2" width="10.90625" bestFit="1" customWidth="1"/>
    <col min="3" max="3" width="12.90625" customWidth="1"/>
    <col min="4" max="4" width="10.453125" customWidth="1"/>
    <col min="5" max="5" width="9.90625" bestFit="1" customWidth="1"/>
    <col min="7" max="7" width="9" customWidth="1"/>
    <col min="8" max="9" width="10.453125" customWidth="1"/>
    <col min="10" max="10" width="12.6328125" customWidth="1"/>
    <col min="11" max="11" width="15.90625" customWidth="1"/>
    <col min="12" max="12" width="16.453125" customWidth="1"/>
    <col min="13" max="13" width="15.453125" customWidth="1"/>
    <col min="14" max="14" width="13.81640625" customWidth="1"/>
    <col min="15" max="15" width="13.453125" bestFit="1" customWidth="1"/>
  </cols>
  <sheetData>
    <row r="1" spans="1:15">
      <c r="A1" t="s">
        <v>373</v>
      </c>
    </row>
    <row r="2" spans="1:15">
      <c r="A2" t="s">
        <v>291</v>
      </c>
      <c r="B2" t="s">
        <v>374</v>
      </c>
    </row>
    <row r="3" spans="1:15">
      <c r="A3" t="s">
        <v>292</v>
      </c>
      <c r="B3" t="s">
        <v>375</v>
      </c>
    </row>
    <row r="5" spans="1:15">
      <c r="A5" t="s">
        <v>376</v>
      </c>
      <c r="B5" t="s">
        <v>295</v>
      </c>
      <c r="C5" t="s">
        <v>380</v>
      </c>
      <c r="D5" t="s">
        <v>381</v>
      </c>
      <c r="E5" t="s">
        <v>382</v>
      </c>
      <c r="F5" t="s">
        <v>377</v>
      </c>
      <c r="G5" t="s">
        <v>383</v>
      </c>
      <c r="H5" t="s">
        <v>378</v>
      </c>
      <c r="I5" t="s">
        <v>391</v>
      </c>
      <c r="J5" t="s">
        <v>390</v>
      </c>
      <c r="K5" t="s">
        <v>392</v>
      </c>
      <c r="L5" t="s">
        <v>379</v>
      </c>
      <c r="M5" t="s">
        <v>384</v>
      </c>
      <c r="N5" t="s">
        <v>385</v>
      </c>
      <c r="O5" t="s">
        <v>386</v>
      </c>
    </row>
    <row r="6" spans="1:15">
      <c r="A6" t="s">
        <v>387</v>
      </c>
      <c r="B6" s="2">
        <v>31000</v>
      </c>
      <c r="C6" s="2">
        <v>2500</v>
      </c>
      <c r="D6" s="2">
        <v>300</v>
      </c>
      <c r="E6" s="2">
        <v>3100</v>
      </c>
      <c r="F6" s="31">
        <v>19</v>
      </c>
      <c r="G6" s="31">
        <v>30000</v>
      </c>
      <c r="H6" s="31">
        <v>250000</v>
      </c>
      <c r="I6" s="22">
        <f>H6/G6</f>
        <v>8.3333333333333339</v>
      </c>
      <c r="J6" s="46">
        <v>3.7789999999999999</v>
      </c>
      <c r="K6" s="3">
        <f>(H6/F6)</f>
        <v>13157.894736842105</v>
      </c>
      <c r="L6" s="2">
        <f>(K6*J6)</f>
        <v>49723.684210526313</v>
      </c>
      <c r="M6" s="2">
        <f>(L6/I6)</f>
        <v>5966.8421052631575</v>
      </c>
      <c r="N6" s="2">
        <f>((C6+D6)*I6)+B6+E6+L6</f>
        <v>107157.01754385965</v>
      </c>
      <c r="O6" s="2">
        <f>N6*1.4</f>
        <v>150019.82456140351</v>
      </c>
    </row>
    <row r="7" spans="1:15">
      <c r="A7" t="s">
        <v>388</v>
      </c>
      <c r="B7" s="2">
        <v>14500</v>
      </c>
      <c r="C7" s="2">
        <v>1500</v>
      </c>
      <c r="D7" s="2">
        <v>210</v>
      </c>
      <c r="E7" s="2">
        <v>1450</v>
      </c>
      <c r="F7" s="31">
        <v>35</v>
      </c>
      <c r="G7" s="31">
        <v>30000</v>
      </c>
      <c r="H7" s="31">
        <v>250000</v>
      </c>
      <c r="I7" s="22">
        <f t="shared" ref="I7:I8" si="0">H7/G7</f>
        <v>8.3333333333333339</v>
      </c>
      <c r="J7" s="46">
        <v>3.7789999999999999</v>
      </c>
      <c r="K7" s="3">
        <f t="shared" ref="K7:K8" si="1">(H7/F7)</f>
        <v>7142.8571428571431</v>
      </c>
      <c r="L7" s="2">
        <f t="shared" ref="L7:L8" si="2">(K7*J7)</f>
        <v>26992.857142857145</v>
      </c>
      <c r="M7" s="2">
        <f t="shared" ref="M7:M8" si="3">(L7/I7)</f>
        <v>3239.1428571428573</v>
      </c>
      <c r="N7" s="2">
        <f>((C7+D7)*I7)+B7+E7+L7</f>
        <v>57192.857142857145</v>
      </c>
      <c r="O7" s="2">
        <f t="shared" ref="O7:O8" si="4">N7*1.4</f>
        <v>80070</v>
      </c>
    </row>
    <row r="8" spans="1:15">
      <c r="A8" t="s">
        <v>389</v>
      </c>
      <c r="B8" s="2">
        <v>72000</v>
      </c>
      <c r="C8" s="2">
        <v>3100</v>
      </c>
      <c r="D8" s="2">
        <v>450</v>
      </c>
      <c r="E8" s="2">
        <v>7200</v>
      </c>
      <c r="F8" s="31">
        <v>17</v>
      </c>
      <c r="G8" s="31">
        <v>30000</v>
      </c>
      <c r="H8" s="31">
        <v>250000</v>
      </c>
      <c r="I8" s="22">
        <f t="shared" si="0"/>
        <v>8.3333333333333339</v>
      </c>
      <c r="J8" s="46">
        <v>3.7789999999999999</v>
      </c>
      <c r="K8" s="3">
        <f t="shared" si="1"/>
        <v>14705.882352941177</v>
      </c>
      <c r="L8" s="2">
        <f t="shared" si="2"/>
        <v>55573.529411764706</v>
      </c>
      <c r="M8" s="2">
        <f t="shared" si="3"/>
        <v>6668.823529411764</v>
      </c>
      <c r="N8" s="2">
        <f>((C8+D8)*I8)+B8+E8+L8</f>
        <v>164356.86274509804</v>
      </c>
      <c r="O8" s="2">
        <f t="shared" si="4"/>
        <v>230099.60784313723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CCC7-F5AD-45C1-A711-C07116F338D0}">
  <dimension ref="A1:M24"/>
  <sheetViews>
    <sheetView topLeftCell="D2" workbookViewId="0">
      <selection activeCell="W18" sqref="W18"/>
    </sheetView>
  </sheetViews>
  <sheetFormatPr defaultRowHeight="14.5"/>
  <cols>
    <col min="1" max="1" width="12.81640625" customWidth="1"/>
    <col min="2" max="2" width="14.1796875" customWidth="1"/>
    <col min="3" max="3" width="6.81640625" customWidth="1"/>
    <col min="4" max="4" width="7.26953125" customWidth="1"/>
    <col min="5" max="5" width="7.90625" customWidth="1"/>
    <col min="6" max="6" width="7" customWidth="1"/>
    <col min="7" max="7" width="4.54296875" customWidth="1"/>
  </cols>
  <sheetData>
    <row r="1" spans="1:13" ht="123.5">
      <c r="A1" t="s">
        <v>48</v>
      </c>
      <c r="C1" s="20" t="s">
        <v>75</v>
      </c>
      <c r="D1" s="20" t="s">
        <v>77</v>
      </c>
      <c r="E1" s="20" t="s">
        <v>78</v>
      </c>
      <c r="F1" s="20" t="s">
        <v>76</v>
      </c>
      <c r="G1" s="20"/>
      <c r="H1" s="20" t="s">
        <v>75</v>
      </c>
      <c r="I1" s="20" t="s">
        <v>77</v>
      </c>
      <c r="J1" s="20" t="s">
        <v>78</v>
      </c>
      <c r="K1" s="20" t="s">
        <v>76</v>
      </c>
      <c r="M1" s="20" t="s">
        <v>80</v>
      </c>
    </row>
    <row r="2" spans="1:13">
      <c r="B2" t="s">
        <v>79</v>
      </c>
      <c r="C2">
        <v>10</v>
      </c>
      <c r="D2">
        <v>20</v>
      </c>
      <c r="E2">
        <v>100</v>
      </c>
      <c r="F2">
        <v>1</v>
      </c>
    </row>
    <row r="3" spans="1:13">
      <c r="A3" t="s">
        <v>1</v>
      </c>
      <c r="B3" t="s">
        <v>2</v>
      </c>
    </row>
    <row r="4" spans="1:13">
      <c r="A4" t="s">
        <v>6</v>
      </c>
      <c r="B4" t="s">
        <v>23</v>
      </c>
      <c r="C4">
        <v>3</v>
      </c>
      <c r="D4">
        <v>11</v>
      </c>
      <c r="E4">
        <v>88</v>
      </c>
      <c r="F4">
        <v>0</v>
      </c>
      <c r="H4" s="21">
        <f>(C4/C$2)</f>
        <v>0.3</v>
      </c>
      <c r="I4" s="21">
        <f>(D4/D$2)</f>
        <v>0.55000000000000004</v>
      </c>
      <c r="J4" s="21">
        <f>(E4/E$2)</f>
        <v>0.88</v>
      </c>
      <c r="K4" s="21">
        <f>(F4/F$2)</f>
        <v>0</v>
      </c>
      <c r="M4" s="21" t="b">
        <f>OR(H4&lt;0.5,I4&lt;0.5,J4&lt;0.5,K4&lt;0.5)</f>
        <v>1</v>
      </c>
    </row>
    <row r="5" spans="1:13">
      <c r="A5" t="s">
        <v>21</v>
      </c>
      <c r="B5" t="s">
        <v>38</v>
      </c>
      <c r="C5">
        <v>4</v>
      </c>
      <c r="D5">
        <v>7</v>
      </c>
      <c r="E5">
        <v>73</v>
      </c>
      <c r="F5">
        <v>0</v>
      </c>
      <c r="H5" s="21">
        <f t="shared" ref="H5:H20" si="0">(C5/C$2)</f>
        <v>0.4</v>
      </c>
      <c r="I5" s="21">
        <f t="shared" ref="I5:I20" si="1">(D5/D$2)</f>
        <v>0.35</v>
      </c>
      <c r="J5" s="21">
        <f t="shared" ref="J5:K20" si="2">(E5/E$2)</f>
        <v>0.73</v>
      </c>
      <c r="K5" s="21">
        <f t="shared" si="2"/>
        <v>0</v>
      </c>
      <c r="M5" s="21" t="b">
        <f t="shared" ref="M5:M20" si="3">OR(H5&lt;0.5,I5&lt;0.5,J5&lt;0.5,K5&lt;0.5)</f>
        <v>1</v>
      </c>
    </row>
    <row r="6" spans="1:13">
      <c r="A6" t="s">
        <v>22</v>
      </c>
      <c r="B6" t="s">
        <v>39</v>
      </c>
      <c r="C6">
        <v>3</v>
      </c>
      <c r="D6">
        <v>10</v>
      </c>
      <c r="E6">
        <v>83</v>
      </c>
      <c r="F6">
        <v>1</v>
      </c>
      <c r="H6" s="21">
        <f t="shared" si="0"/>
        <v>0.3</v>
      </c>
      <c r="I6" s="21">
        <f t="shared" si="1"/>
        <v>0.5</v>
      </c>
      <c r="J6" s="21">
        <f t="shared" si="2"/>
        <v>0.83</v>
      </c>
      <c r="K6" s="21">
        <f t="shared" si="2"/>
        <v>1</v>
      </c>
      <c r="M6" s="21" t="b">
        <f t="shared" si="3"/>
        <v>1</v>
      </c>
    </row>
    <row r="7" spans="1:13">
      <c r="A7" t="s">
        <v>49</v>
      </c>
      <c r="B7" t="s">
        <v>50</v>
      </c>
      <c r="C7">
        <v>7</v>
      </c>
      <c r="D7">
        <v>14</v>
      </c>
      <c r="E7">
        <v>100</v>
      </c>
      <c r="F7">
        <v>0</v>
      </c>
      <c r="H7" s="21">
        <f t="shared" si="0"/>
        <v>0.7</v>
      </c>
      <c r="I7" s="21">
        <f t="shared" si="1"/>
        <v>0.7</v>
      </c>
      <c r="J7" s="21">
        <f t="shared" si="2"/>
        <v>1</v>
      </c>
      <c r="K7" s="21">
        <f t="shared" si="2"/>
        <v>0</v>
      </c>
      <c r="M7" s="21" t="b">
        <f t="shared" si="3"/>
        <v>1</v>
      </c>
    </row>
    <row r="8" spans="1:13">
      <c r="A8" t="s">
        <v>51</v>
      </c>
      <c r="B8" t="s">
        <v>52</v>
      </c>
      <c r="C8">
        <v>3</v>
      </c>
      <c r="D8">
        <v>10</v>
      </c>
      <c r="E8">
        <v>97</v>
      </c>
      <c r="F8">
        <v>0</v>
      </c>
      <c r="H8" s="21">
        <f t="shared" si="0"/>
        <v>0.3</v>
      </c>
      <c r="I8" s="21">
        <f t="shared" si="1"/>
        <v>0.5</v>
      </c>
      <c r="J8" s="21">
        <f t="shared" si="2"/>
        <v>0.97</v>
      </c>
      <c r="K8" s="21">
        <f t="shared" si="2"/>
        <v>0</v>
      </c>
      <c r="M8" s="21" t="b">
        <f t="shared" si="3"/>
        <v>1</v>
      </c>
    </row>
    <row r="9" spans="1:13">
      <c r="A9" t="s">
        <v>53</v>
      </c>
      <c r="B9" t="s">
        <v>54</v>
      </c>
      <c r="C9">
        <v>10</v>
      </c>
      <c r="D9">
        <v>6</v>
      </c>
      <c r="E9">
        <v>91</v>
      </c>
      <c r="F9">
        <v>1</v>
      </c>
      <c r="H9" s="21">
        <f t="shared" si="0"/>
        <v>1</v>
      </c>
      <c r="I9" s="21">
        <f t="shared" si="1"/>
        <v>0.3</v>
      </c>
      <c r="J9" s="21">
        <f t="shared" si="2"/>
        <v>0.91</v>
      </c>
      <c r="K9" s="21">
        <f t="shared" si="2"/>
        <v>1</v>
      </c>
      <c r="M9" s="21" t="b">
        <f t="shared" si="3"/>
        <v>1</v>
      </c>
    </row>
    <row r="10" spans="1:13">
      <c r="A10" t="s">
        <v>20</v>
      </c>
      <c r="B10" t="s">
        <v>37</v>
      </c>
      <c r="C10">
        <v>3</v>
      </c>
      <c r="D10">
        <v>8</v>
      </c>
      <c r="E10">
        <v>84</v>
      </c>
      <c r="F10">
        <v>1</v>
      </c>
      <c r="H10" s="21">
        <f t="shared" si="0"/>
        <v>0.3</v>
      </c>
      <c r="I10" s="21">
        <f t="shared" si="1"/>
        <v>0.4</v>
      </c>
      <c r="J10" s="21">
        <f t="shared" si="2"/>
        <v>0.84</v>
      </c>
      <c r="K10" s="21">
        <f t="shared" si="2"/>
        <v>1</v>
      </c>
      <c r="M10" s="21" t="b">
        <f t="shared" si="3"/>
        <v>1</v>
      </c>
    </row>
    <row r="11" spans="1:13">
      <c r="A11" t="s">
        <v>55</v>
      </c>
      <c r="B11" t="s">
        <v>56</v>
      </c>
      <c r="C11">
        <v>10</v>
      </c>
      <c r="D11">
        <v>9</v>
      </c>
      <c r="E11">
        <v>87</v>
      </c>
      <c r="F11">
        <v>0</v>
      </c>
      <c r="H11" s="21">
        <f t="shared" si="0"/>
        <v>1</v>
      </c>
      <c r="I11" s="21">
        <f t="shared" si="1"/>
        <v>0.45</v>
      </c>
      <c r="J11" s="21">
        <f t="shared" si="2"/>
        <v>0.87</v>
      </c>
      <c r="K11" s="21">
        <f t="shared" si="2"/>
        <v>0</v>
      </c>
      <c r="M11" s="21" t="b">
        <f t="shared" si="3"/>
        <v>1</v>
      </c>
    </row>
    <row r="12" spans="1:13">
      <c r="A12" t="s">
        <v>57</v>
      </c>
      <c r="B12" t="s">
        <v>58</v>
      </c>
      <c r="C12">
        <v>4</v>
      </c>
      <c r="D12">
        <v>7</v>
      </c>
      <c r="E12">
        <v>82</v>
      </c>
      <c r="F12">
        <v>0</v>
      </c>
      <c r="H12" s="21">
        <f t="shared" si="0"/>
        <v>0.4</v>
      </c>
      <c r="I12" s="21">
        <f t="shared" si="1"/>
        <v>0.35</v>
      </c>
      <c r="J12" s="21">
        <f t="shared" si="2"/>
        <v>0.82</v>
      </c>
      <c r="K12" s="21">
        <f t="shared" si="2"/>
        <v>0</v>
      </c>
      <c r="M12" s="21" t="b">
        <f t="shared" si="3"/>
        <v>1</v>
      </c>
    </row>
    <row r="13" spans="1:13">
      <c r="A13" t="s">
        <v>59</v>
      </c>
      <c r="B13" t="s">
        <v>60</v>
      </c>
      <c r="C13">
        <v>2</v>
      </c>
      <c r="D13">
        <v>5</v>
      </c>
      <c r="E13">
        <v>91</v>
      </c>
      <c r="F13">
        <v>1</v>
      </c>
      <c r="H13" s="21">
        <f t="shared" si="0"/>
        <v>0.2</v>
      </c>
      <c r="I13" s="21">
        <f t="shared" si="1"/>
        <v>0.25</v>
      </c>
      <c r="J13" s="21">
        <f t="shared" si="2"/>
        <v>0.91</v>
      </c>
      <c r="K13" s="21">
        <f t="shared" si="2"/>
        <v>1</v>
      </c>
      <c r="M13" s="21" t="b">
        <f t="shared" si="3"/>
        <v>1</v>
      </c>
    </row>
    <row r="14" spans="1:13">
      <c r="A14" t="s">
        <v>61</v>
      </c>
      <c r="B14" t="s">
        <v>62</v>
      </c>
      <c r="C14">
        <v>1</v>
      </c>
      <c r="D14">
        <v>18</v>
      </c>
      <c r="E14">
        <v>83</v>
      </c>
      <c r="F14">
        <v>0</v>
      </c>
      <c r="H14" s="21">
        <f t="shared" si="0"/>
        <v>0.1</v>
      </c>
      <c r="I14" s="21">
        <f t="shared" si="1"/>
        <v>0.9</v>
      </c>
      <c r="J14" s="21">
        <f t="shared" si="2"/>
        <v>0.83</v>
      </c>
      <c r="K14" s="21">
        <f t="shared" si="2"/>
        <v>0</v>
      </c>
      <c r="M14" s="21" t="b">
        <f t="shared" si="3"/>
        <v>1</v>
      </c>
    </row>
    <row r="15" spans="1:13">
      <c r="A15" t="s">
        <v>63</v>
      </c>
      <c r="B15" t="s">
        <v>64</v>
      </c>
      <c r="C15">
        <v>5</v>
      </c>
      <c r="D15">
        <v>15</v>
      </c>
      <c r="E15">
        <v>92</v>
      </c>
      <c r="F15">
        <v>1</v>
      </c>
      <c r="H15" s="21">
        <f t="shared" si="0"/>
        <v>0.5</v>
      </c>
      <c r="I15" s="21">
        <f t="shared" si="1"/>
        <v>0.75</v>
      </c>
      <c r="J15" s="21">
        <f t="shared" si="2"/>
        <v>0.92</v>
      </c>
      <c r="K15" s="21">
        <f t="shared" si="2"/>
        <v>1</v>
      </c>
      <c r="M15" s="21" t="b">
        <f t="shared" si="3"/>
        <v>0</v>
      </c>
    </row>
    <row r="16" spans="1:13">
      <c r="A16" t="s">
        <v>65</v>
      </c>
      <c r="B16" t="s">
        <v>66</v>
      </c>
      <c r="C16">
        <v>3</v>
      </c>
      <c r="D16">
        <v>11</v>
      </c>
      <c r="E16">
        <v>71</v>
      </c>
      <c r="F16">
        <v>1</v>
      </c>
      <c r="H16" s="21">
        <f t="shared" si="0"/>
        <v>0.3</v>
      </c>
      <c r="I16" s="21">
        <f t="shared" si="1"/>
        <v>0.55000000000000004</v>
      </c>
      <c r="J16" s="21">
        <f t="shared" si="2"/>
        <v>0.71</v>
      </c>
      <c r="K16" s="21">
        <f t="shared" si="2"/>
        <v>1</v>
      </c>
      <c r="M16" s="21" t="b">
        <f t="shared" si="3"/>
        <v>1</v>
      </c>
    </row>
    <row r="17" spans="1:13">
      <c r="A17" t="s">
        <v>67</v>
      </c>
      <c r="B17" t="s">
        <v>68</v>
      </c>
      <c r="C17">
        <v>9</v>
      </c>
      <c r="D17">
        <v>11</v>
      </c>
      <c r="E17">
        <v>73</v>
      </c>
      <c r="F17">
        <v>1</v>
      </c>
      <c r="H17" s="21">
        <f t="shared" si="0"/>
        <v>0.9</v>
      </c>
      <c r="I17" s="21">
        <f t="shared" si="1"/>
        <v>0.55000000000000004</v>
      </c>
      <c r="J17" s="21">
        <f t="shared" si="2"/>
        <v>0.73</v>
      </c>
      <c r="K17" s="21">
        <f t="shared" si="2"/>
        <v>1</v>
      </c>
      <c r="M17" s="21" t="b">
        <f t="shared" si="3"/>
        <v>0</v>
      </c>
    </row>
    <row r="18" spans="1:13">
      <c r="A18" t="s">
        <v>69</v>
      </c>
      <c r="B18" t="s">
        <v>70</v>
      </c>
      <c r="C18">
        <v>8</v>
      </c>
      <c r="D18">
        <v>20</v>
      </c>
      <c r="E18">
        <v>100</v>
      </c>
      <c r="F18">
        <v>1</v>
      </c>
      <c r="H18" s="21">
        <f t="shared" si="0"/>
        <v>0.8</v>
      </c>
      <c r="I18" s="21">
        <f t="shared" si="1"/>
        <v>1</v>
      </c>
      <c r="J18" s="21">
        <f t="shared" si="2"/>
        <v>1</v>
      </c>
      <c r="K18" s="21">
        <f t="shared" si="2"/>
        <v>1</v>
      </c>
      <c r="M18" s="21" t="b">
        <f t="shared" si="3"/>
        <v>0</v>
      </c>
    </row>
    <row r="19" spans="1:13">
      <c r="A19" t="s">
        <v>71</v>
      </c>
      <c r="B19" t="s">
        <v>72</v>
      </c>
      <c r="C19">
        <v>6</v>
      </c>
      <c r="D19">
        <v>12</v>
      </c>
      <c r="E19">
        <v>99</v>
      </c>
      <c r="F19">
        <v>0</v>
      </c>
      <c r="H19" s="21">
        <f t="shared" si="0"/>
        <v>0.6</v>
      </c>
      <c r="I19" s="21">
        <f t="shared" si="1"/>
        <v>0.6</v>
      </c>
      <c r="J19" s="21">
        <f t="shared" si="2"/>
        <v>0.99</v>
      </c>
      <c r="K19" s="21">
        <f t="shared" si="2"/>
        <v>0</v>
      </c>
      <c r="M19" s="21" t="b">
        <f t="shared" si="3"/>
        <v>1</v>
      </c>
    </row>
    <row r="20" spans="1:13">
      <c r="A20" t="s">
        <v>74</v>
      </c>
      <c r="B20" t="s">
        <v>73</v>
      </c>
      <c r="C20">
        <v>7</v>
      </c>
      <c r="D20">
        <v>14</v>
      </c>
      <c r="E20">
        <v>82</v>
      </c>
      <c r="F20">
        <v>0</v>
      </c>
      <c r="H20" s="21">
        <f t="shared" si="0"/>
        <v>0.7</v>
      </c>
      <c r="I20" s="21">
        <f t="shared" si="1"/>
        <v>0.7</v>
      </c>
      <c r="J20" s="21">
        <f t="shared" si="2"/>
        <v>0.82</v>
      </c>
      <c r="K20" s="21">
        <f t="shared" si="2"/>
        <v>0</v>
      </c>
      <c r="M20" s="21" t="b">
        <f t="shared" si="3"/>
        <v>1</v>
      </c>
    </row>
    <row r="22" spans="1:13">
      <c r="A22" t="s">
        <v>37</v>
      </c>
      <c r="C22" s="22">
        <f>MAX(C4:C20)</f>
        <v>10</v>
      </c>
      <c r="D22" s="22">
        <f t="shared" ref="D22:F22" si="4">MAX(D4:D20)</f>
        <v>20</v>
      </c>
      <c r="E22" s="22">
        <f t="shared" si="4"/>
        <v>100</v>
      </c>
      <c r="F22" s="22"/>
      <c r="H22" s="21">
        <f>MAX(H4:H20)</f>
        <v>1</v>
      </c>
      <c r="I22" s="21">
        <f>MAX(I4:I20)</f>
        <v>1</v>
      </c>
      <c r="J22" s="21">
        <f>MAX(J4:J20)</f>
        <v>1</v>
      </c>
    </row>
    <row r="23" spans="1:13">
      <c r="A23" t="s">
        <v>40</v>
      </c>
      <c r="C23" s="22">
        <f>MIN(C4:C20)</f>
        <v>1</v>
      </c>
      <c r="D23" s="22">
        <f t="shared" ref="D23:F23" si="5">MIN(D4:D20)</f>
        <v>5</v>
      </c>
      <c r="E23" s="22">
        <f t="shared" si="5"/>
        <v>71</v>
      </c>
      <c r="F23" s="22"/>
      <c r="H23" s="21">
        <f>MIN(H4:H20)</f>
        <v>0.1</v>
      </c>
      <c r="I23" s="21">
        <f>MIN(I4:I20)</f>
        <v>0.25</v>
      </c>
      <c r="J23" s="21">
        <f>MIN(J4:J20)</f>
        <v>0.71</v>
      </c>
    </row>
    <row r="24" spans="1:13">
      <c r="A24" t="s">
        <v>41</v>
      </c>
      <c r="C24" s="22">
        <f>AVERAGE(C4:C20)</f>
        <v>5.1764705882352944</v>
      </c>
      <c r="D24" s="22">
        <f t="shared" ref="D24:F24" si="6">AVERAGE(D4:D20)</f>
        <v>11.058823529411764</v>
      </c>
      <c r="E24" s="22">
        <f t="shared" si="6"/>
        <v>86.82352941176471</v>
      </c>
      <c r="F24" s="22"/>
      <c r="H24" s="21">
        <f>AVERAGE(H4:H20)</f>
        <v>0.51764705882352935</v>
      </c>
      <c r="I24" s="21">
        <f>AVERAGE(I4:I20)</f>
        <v>0.55294117647058816</v>
      </c>
      <c r="J24" s="21">
        <f>AVERAGE(J4:J20)</f>
        <v>0.86823529411764699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FALSE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D366-2B77-4DBC-A22E-9E4E3A879D09}">
  <dimension ref="A1:L8"/>
  <sheetViews>
    <sheetView workbookViewId="0">
      <selection activeCell="D11" sqref="D11"/>
    </sheetView>
  </sheetViews>
  <sheetFormatPr defaultRowHeight="14.5"/>
  <cols>
    <col min="1" max="1" width="17.1796875" customWidth="1"/>
    <col min="3" max="3" width="9.90625" customWidth="1"/>
    <col min="4" max="5" width="10.453125" customWidth="1"/>
    <col min="6" max="7" width="11" customWidth="1"/>
    <col min="10" max="11" width="9.453125" customWidth="1"/>
  </cols>
  <sheetData>
    <row r="1" spans="1:12">
      <c r="A1" t="s">
        <v>81</v>
      </c>
      <c r="C1" t="s">
        <v>43</v>
      </c>
    </row>
    <row r="3" spans="1:12">
      <c r="A3" t="s">
        <v>82</v>
      </c>
      <c r="B3" s="23" t="s">
        <v>5</v>
      </c>
      <c r="C3" s="23">
        <v>4</v>
      </c>
      <c r="D3" s="24" t="s">
        <v>91</v>
      </c>
      <c r="E3" s="24">
        <v>5</v>
      </c>
      <c r="F3" s="25" t="s">
        <v>88</v>
      </c>
      <c r="G3" s="25">
        <v>3</v>
      </c>
      <c r="H3" s="26" t="s">
        <v>89</v>
      </c>
      <c r="I3" s="26">
        <v>2</v>
      </c>
      <c r="J3" s="27" t="s">
        <v>90</v>
      </c>
      <c r="K3" s="27">
        <v>1</v>
      </c>
    </row>
    <row r="4" spans="1:12">
      <c r="A4" t="s">
        <v>86</v>
      </c>
      <c r="B4" s="23">
        <v>2</v>
      </c>
      <c r="C4" s="23">
        <f>C$3*B4</f>
        <v>8</v>
      </c>
      <c r="D4" s="24">
        <v>5</v>
      </c>
      <c r="E4" s="24">
        <f>E$3*D4</f>
        <v>25</v>
      </c>
      <c r="F4" s="25">
        <v>1</v>
      </c>
      <c r="G4" s="25">
        <f>G$3*F4</f>
        <v>3</v>
      </c>
      <c r="H4" s="26">
        <v>3</v>
      </c>
      <c r="I4" s="26">
        <f>I$3*H4</f>
        <v>6</v>
      </c>
      <c r="J4" s="27">
        <v>5</v>
      </c>
      <c r="K4" s="27">
        <f>K$3*J4</f>
        <v>5</v>
      </c>
      <c r="L4">
        <f>SUM(C4,E4,G4,I4,K4)</f>
        <v>47</v>
      </c>
    </row>
    <row r="5" spans="1:12">
      <c r="A5" t="s">
        <v>83</v>
      </c>
      <c r="B5" s="23">
        <v>4</v>
      </c>
      <c r="C5" s="23">
        <f t="shared" ref="C5:C8" si="0">C$3*B5</f>
        <v>16</v>
      </c>
      <c r="D5" s="24">
        <v>2</v>
      </c>
      <c r="E5" s="24">
        <f t="shared" ref="E5:G8" si="1">E$3*D5</f>
        <v>10</v>
      </c>
      <c r="F5" s="25">
        <v>3</v>
      </c>
      <c r="G5" s="25">
        <f t="shared" si="1"/>
        <v>9</v>
      </c>
      <c r="H5" s="26">
        <v>2</v>
      </c>
      <c r="I5" s="26">
        <f t="shared" ref="I5" si="2">I$3*H5</f>
        <v>4</v>
      </c>
      <c r="J5" s="27">
        <v>2</v>
      </c>
      <c r="K5" s="27">
        <f t="shared" ref="K5" si="3">K$3*J5</f>
        <v>2</v>
      </c>
      <c r="L5">
        <f t="shared" ref="L5:L8" si="4">SUM(C5,E5,G5,I5,K5)</f>
        <v>41</v>
      </c>
    </row>
    <row r="6" spans="1:12">
      <c r="A6" t="s">
        <v>87</v>
      </c>
      <c r="B6" s="23">
        <v>5</v>
      </c>
      <c r="C6" s="23">
        <f t="shared" si="0"/>
        <v>20</v>
      </c>
      <c r="D6" s="24">
        <v>1</v>
      </c>
      <c r="E6" s="24">
        <f t="shared" si="1"/>
        <v>5</v>
      </c>
      <c r="F6" s="25">
        <v>5</v>
      </c>
      <c r="G6" s="25">
        <f t="shared" si="1"/>
        <v>15</v>
      </c>
      <c r="H6" s="26">
        <v>2</v>
      </c>
      <c r="I6" s="26">
        <f t="shared" ref="I6" si="5">I$3*H6</f>
        <v>4</v>
      </c>
      <c r="J6" s="27">
        <v>4</v>
      </c>
      <c r="K6" s="27">
        <f t="shared" ref="K6" si="6">K$3*J6</f>
        <v>4</v>
      </c>
      <c r="L6">
        <f t="shared" si="4"/>
        <v>48</v>
      </c>
    </row>
    <row r="7" spans="1:12">
      <c r="A7" t="s">
        <v>84</v>
      </c>
      <c r="B7" s="23">
        <v>4</v>
      </c>
      <c r="C7" s="23">
        <f t="shared" si="0"/>
        <v>16</v>
      </c>
      <c r="D7" s="24">
        <v>3</v>
      </c>
      <c r="E7" s="24">
        <f t="shared" si="1"/>
        <v>15</v>
      </c>
      <c r="F7" s="25">
        <v>3</v>
      </c>
      <c r="G7" s="25">
        <f t="shared" si="1"/>
        <v>9</v>
      </c>
      <c r="H7" s="26">
        <v>4</v>
      </c>
      <c r="I7" s="26">
        <f t="shared" ref="I7" si="7">I$3*H7</f>
        <v>8</v>
      </c>
      <c r="J7" s="27">
        <v>3</v>
      </c>
      <c r="K7" s="27">
        <f t="shared" ref="K7" si="8">K$3*J7</f>
        <v>3</v>
      </c>
      <c r="L7">
        <f t="shared" si="4"/>
        <v>51</v>
      </c>
    </row>
    <row r="8" spans="1:12">
      <c r="A8" t="s">
        <v>85</v>
      </c>
      <c r="B8" s="23">
        <v>1</v>
      </c>
      <c r="C8" s="23">
        <f t="shared" si="0"/>
        <v>4</v>
      </c>
      <c r="D8" s="24">
        <v>4</v>
      </c>
      <c r="E8" s="24">
        <f t="shared" si="1"/>
        <v>20</v>
      </c>
      <c r="F8" s="25">
        <v>1</v>
      </c>
      <c r="G8" s="25">
        <f t="shared" si="1"/>
        <v>3</v>
      </c>
      <c r="H8" s="26">
        <v>3</v>
      </c>
      <c r="I8" s="26">
        <f t="shared" ref="I8" si="9">I$3*H8</f>
        <v>6</v>
      </c>
      <c r="J8" s="27">
        <v>4</v>
      </c>
      <c r="K8" s="27">
        <f t="shared" ref="K8" si="10">K$3*J8</f>
        <v>4</v>
      </c>
      <c r="L8">
        <f t="shared" si="4"/>
        <v>37</v>
      </c>
    </row>
  </sheetData>
  <conditionalFormatting sqref="L4:L8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B2AC-7F5D-469D-8BD9-2F8A84A11EDF}">
  <dimension ref="A1:N176"/>
  <sheetViews>
    <sheetView workbookViewId="0">
      <selection activeCell="A2" sqref="A2:K172"/>
    </sheetView>
  </sheetViews>
  <sheetFormatPr defaultRowHeight="14.5"/>
  <cols>
    <col min="1" max="1" width="6.81640625" customWidth="1"/>
    <col min="2" max="2" width="12.90625" customWidth="1"/>
    <col min="3" max="3" width="14.36328125" customWidth="1"/>
    <col min="4" max="4" width="23.1796875" customWidth="1"/>
    <col min="5" max="5" width="13.1796875" style="2" customWidth="1"/>
    <col min="6" max="6" width="13.26953125" style="2" customWidth="1"/>
    <col min="7" max="7" width="11.90625" customWidth="1"/>
    <col min="8" max="8" width="16.7265625" customWidth="1"/>
    <col min="9" max="10" width="20.26953125" customWidth="1"/>
    <col min="11" max="11" width="14.6328125" customWidth="1"/>
    <col min="14" max="14" width="8.7265625" customWidth="1"/>
  </cols>
  <sheetData>
    <row r="1" spans="1:14" ht="62">
      <c r="A1" s="37" t="s">
        <v>92</v>
      </c>
      <c r="B1" s="37" t="s">
        <v>93</v>
      </c>
      <c r="C1" s="37" t="s">
        <v>94</v>
      </c>
      <c r="D1" s="37" t="s">
        <v>95</v>
      </c>
      <c r="E1" s="36" t="s">
        <v>96</v>
      </c>
      <c r="F1" s="36" t="s">
        <v>97</v>
      </c>
      <c r="G1" s="37" t="s">
        <v>98</v>
      </c>
      <c r="H1" s="37" t="s">
        <v>128</v>
      </c>
      <c r="I1" s="37" t="s">
        <v>2</v>
      </c>
      <c r="J1" s="37" t="s">
        <v>1</v>
      </c>
      <c r="K1" s="37" t="s">
        <v>99</v>
      </c>
    </row>
    <row r="2" spans="1:14" ht="15.5">
      <c r="A2" s="41" t="s">
        <v>100</v>
      </c>
      <c r="B2" s="42">
        <v>1001</v>
      </c>
      <c r="C2" s="40">
        <v>9822</v>
      </c>
      <c r="D2" s="40" t="s">
        <v>101</v>
      </c>
      <c r="E2" s="38">
        <v>58.3</v>
      </c>
      <c r="F2" s="38">
        <v>98.4</v>
      </c>
      <c r="G2" s="38">
        <f>F2-E2</f>
        <v>40.100000000000009</v>
      </c>
      <c r="H2" s="34">
        <f>IF(F2&gt;50,0.2*G2,0.1*G2)</f>
        <v>8.0200000000000014</v>
      </c>
      <c r="I2" s="35" t="s">
        <v>129</v>
      </c>
      <c r="J2" s="40" t="s">
        <v>130</v>
      </c>
      <c r="K2" s="40" t="s">
        <v>102</v>
      </c>
    </row>
    <row r="3" spans="1:14" ht="15.5">
      <c r="A3" s="41" t="s">
        <v>100</v>
      </c>
      <c r="B3" s="42">
        <v>1002</v>
      </c>
      <c r="C3" s="40">
        <v>2877</v>
      </c>
      <c r="D3" s="40" t="s">
        <v>103</v>
      </c>
      <c r="E3" s="38">
        <v>11.4</v>
      </c>
      <c r="F3" s="38">
        <v>16.3</v>
      </c>
      <c r="G3" s="38">
        <f>F3-E3</f>
        <v>4.9000000000000004</v>
      </c>
      <c r="H3" s="34">
        <f>IF(F3&gt;50,0.2*G3,0.1*G3)</f>
        <v>0.49000000000000005</v>
      </c>
      <c r="I3" s="35" t="s">
        <v>131</v>
      </c>
      <c r="J3" s="40" t="s">
        <v>9</v>
      </c>
      <c r="K3" s="40" t="s">
        <v>104</v>
      </c>
      <c r="N3" s="39"/>
    </row>
    <row r="4" spans="1:14" ht="15.5">
      <c r="A4" s="41" t="s">
        <v>100</v>
      </c>
      <c r="B4" s="42">
        <v>1003</v>
      </c>
      <c r="C4" s="40">
        <v>2499</v>
      </c>
      <c r="D4" s="40" t="s">
        <v>105</v>
      </c>
      <c r="E4" s="38">
        <v>6.2</v>
      </c>
      <c r="F4" s="38">
        <v>9.1999999999999993</v>
      </c>
      <c r="G4" s="38">
        <f>F4-E4</f>
        <v>2.9999999999999991</v>
      </c>
      <c r="H4" s="34">
        <f>IF(F4&gt;50,0.2*G4,0.1*G4)</f>
        <v>0.29999999999999993</v>
      </c>
      <c r="I4" s="35" t="s">
        <v>132</v>
      </c>
      <c r="J4" s="40" t="s">
        <v>10</v>
      </c>
      <c r="K4" s="40" t="s">
        <v>106</v>
      </c>
    </row>
    <row r="5" spans="1:14" ht="15.5">
      <c r="A5" s="41" t="s">
        <v>100</v>
      </c>
      <c r="B5" s="42">
        <v>1004</v>
      </c>
      <c r="C5" s="40">
        <v>8722</v>
      </c>
      <c r="D5" s="40" t="s">
        <v>107</v>
      </c>
      <c r="E5" s="38">
        <v>344</v>
      </c>
      <c r="F5" s="38">
        <v>502</v>
      </c>
      <c r="G5" s="38">
        <f>F5-E5</f>
        <v>158</v>
      </c>
      <c r="H5" s="34">
        <f>IF(F5&gt;50,0.2*G5,0.1*G5)</f>
        <v>31.6</v>
      </c>
      <c r="I5" s="35" t="s">
        <v>129</v>
      </c>
      <c r="J5" s="40" t="s">
        <v>130</v>
      </c>
      <c r="K5" s="40" t="s">
        <v>106</v>
      </c>
    </row>
    <row r="6" spans="1:14" ht="15.5">
      <c r="A6" s="41" t="s">
        <v>100</v>
      </c>
      <c r="B6" s="42">
        <v>1005</v>
      </c>
      <c r="C6" s="40">
        <v>1109</v>
      </c>
      <c r="D6" s="40" t="s">
        <v>108</v>
      </c>
      <c r="E6" s="38">
        <v>3</v>
      </c>
      <c r="F6" s="38">
        <v>8</v>
      </c>
      <c r="G6" s="38">
        <f>F6-E6</f>
        <v>5</v>
      </c>
      <c r="H6" s="34">
        <f>IF(F6&gt;50,0.2*G6,0.1*G6)</f>
        <v>0.5</v>
      </c>
      <c r="I6" s="35" t="s">
        <v>132</v>
      </c>
      <c r="J6" s="40" t="s">
        <v>10</v>
      </c>
      <c r="K6" s="40" t="s">
        <v>106</v>
      </c>
    </row>
    <row r="7" spans="1:14" ht="15.5">
      <c r="A7" s="41" t="s">
        <v>100</v>
      </c>
      <c r="B7" s="42">
        <v>1006</v>
      </c>
      <c r="C7" s="40">
        <v>9822</v>
      </c>
      <c r="D7" s="40" t="s">
        <v>101</v>
      </c>
      <c r="E7" s="38">
        <v>58.3</v>
      </c>
      <c r="F7" s="38">
        <v>98.4</v>
      </c>
      <c r="G7" s="38">
        <f>F7-E7</f>
        <v>40.100000000000009</v>
      </c>
      <c r="H7" s="34">
        <f>IF(F7&gt;50,0.2*G7,0.1*G7)</f>
        <v>8.0200000000000014</v>
      </c>
      <c r="I7" s="35" t="s">
        <v>132</v>
      </c>
      <c r="J7" s="40" t="s">
        <v>10</v>
      </c>
      <c r="K7" s="40" t="s">
        <v>106</v>
      </c>
    </row>
    <row r="8" spans="1:14" ht="15.5">
      <c r="A8" s="41" t="s">
        <v>100</v>
      </c>
      <c r="B8" s="42">
        <v>1007</v>
      </c>
      <c r="C8" s="40">
        <v>1109</v>
      </c>
      <c r="D8" s="40" t="s">
        <v>108</v>
      </c>
      <c r="E8" s="38">
        <v>3</v>
      </c>
      <c r="F8" s="38">
        <v>8</v>
      </c>
      <c r="G8" s="38">
        <f>F8-E8</f>
        <v>5</v>
      </c>
      <c r="H8" s="34">
        <f>IF(F8&gt;50,0.2*G8,0.1*G8)</f>
        <v>0.5</v>
      </c>
      <c r="I8" s="35" t="s">
        <v>133</v>
      </c>
      <c r="J8" s="40" t="s">
        <v>134</v>
      </c>
      <c r="K8" s="40" t="s">
        <v>102</v>
      </c>
    </row>
    <row r="9" spans="1:14" ht="15.5">
      <c r="A9" s="41" t="s">
        <v>100</v>
      </c>
      <c r="B9" s="42">
        <v>1008</v>
      </c>
      <c r="C9" s="40">
        <v>2877</v>
      </c>
      <c r="D9" s="40" t="s">
        <v>103</v>
      </c>
      <c r="E9" s="38">
        <v>11.4</v>
      </c>
      <c r="F9" s="38">
        <v>16.3</v>
      </c>
      <c r="G9" s="38">
        <f>F9-E9</f>
        <v>4.9000000000000004</v>
      </c>
      <c r="H9" s="34">
        <f>IF(F9&gt;50,0.2*G9,0.1*G9)</f>
        <v>0.49000000000000005</v>
      </c>
      <c r="I9" s="35" t="s">
        <v>132</v>
      </c>
      <c r="J9" s="40" t="s">
        <v>10</v>
      </c>
      <c r="K9" s="40" t="s">
        <v>102</v>
      </c>
    </row>
    <row r="10" spans="1:14" ht="15.5">
      <c r="A10" s="41" t="s">
        <v>100</v>
      </c>
      <c r="B10" s="42">
        <v>1009</v>
      </c>
      <c r="C10" s="40">
        <v>1109</v>
      </c>
      <c r="D10" s="40" t="s">
        <v>108</v>
      </c>
      <c r="E10" s="38">
        <v>3</v>
      </c>
      <c r="F10" s="38">
        <v>8</v>
      </c>
      <c r="G10" s="38">
        <f>F10-E10</f>
        <v>5</v>
      </c>
      <c r="H10" s="34">
        <f>IF(F10&gt;50,0.2*G10,0.1*G10)</f>
        <v>0.5</v>
      </c>
      <c r="I10" s="35" t="s">
        <v>132</v>
      </c>
      <c r="J10" s="40" t="s">
        <v>10</v>
      </c>
      <c r="K10" s="40" t="s">
        <v>106</v>
      </c>
    </row>
    <row r="11" spans="1:14" ht="15.5">
      <c r="A11" s="41" t="s">
        <v>100</v>
      </c>
      <c r="B11" s="42">
        <v>1010</v>
      </c>
      <c r="C11" s="40">
        <v>2877</v>
      </c>
      <c r="D11" s="40" t="s">
        <v>103</v>
      </c>
      <c r="E11" s="38">
        <v>11.4</v>
      </c>
      <c r="F11" s="38">
        <v>16.3</v>
      </c>
      <c r="G11" s="38">
        <f>F11-E11</f>
        <v>4.9000000000000004</v>
      </c>
      <c r="H11" s="34">
        <f>IF(F11&gt;50,0.2*G11,0.1*G11)</f>
        <v>0.49000000000000005</v>
      </c>
      <c r="I11" s="35" t="s">
        <v>131</v>
      </c>
      <c r="J11" s="40" t="s">
        <v>9</v>
      </c>
      <c r="K11" s="40" t="s">
        <v>109</v>
      </c>
    </row>
    <row r="12" spans="1:14" ht="15.5">
      <c r="A12" s="41" t="s">
        <v>100</v>
      </c>
      <c r="B12" s="42">
        <v>1011</v>
      </c>
      <c r="C12" s="40">
        <v>2877</v>
      </c>
      <c r="D12" s="40" t="s">
        <v>103</v>
      </c>
      <c r="E12" s="38">
        <v>11.4</v>
      </c>
      <c r="F12" s="38">
        <v>16.3</v>
      </c>
      <c r="G12" s="38">
        <f>F12-E12</f>
        <v>4.9000000000000004</v>
      </c>
      <c r="H12" s="34">
        <f>IF(F12&gt;50,0.2*G12,0.1*G12)</f>
        <v>0.49000000000000005</v>
      </c>
      <c r="I12" s="35" t="s">
        <v>131</v>
      </c>
      <c r="J12" s="40" t="s">
        <v>9</v>
      </c>
      <c r="K12" s="40" t="s">
        <v>106</v>
      </c>
    </row>
    <row r="13" spans="1:14" ht="15.5">
      <c r="A13" s="41" t="s">
        <v>100</v>
      </c>
      <c r="B13" s="42">
        <v>1012</v>
      </c>
      <c r="C13" s="40">
        <v>4421</v>
      </c>
      <c r="D13" s="40" t="s">
        <v>110</v>
      </c>
      <c r="E13" s="38">
        <v>45</v>
      </c>
      <c r="F13" s="38">
        <v>87</v>
      </c>
      <c r="G13" s="38">
        <f>F13-E13</f>
        <v>42</v>
      </c>
      <c r="H13" s="34">
        <f>IF(F13&gt;50,0.2*G13,0.1*G13)</f>
        <v>8.4</v>
      </c>
      <c r="I13" s="35" t="s">
        <v>132</v>
      </c>
      <c r="J13" s="40" t="s">
        <v>10</v>
      </c>
      <c r="K13" s="40" t="s">
        <v>102</v>
      </c>
    </row>
    <row r="14" spans="1:14" ht="15.5">
      <c r="A14" s="41" t="s">
        <v>100</v>
      </c>
      <c r="B14" s="42">
        <v>1013</v>
      </c>
      <c r="C14" s="40">
        <v>9212</v>
      </c>
      <c r="D14" s="40" t="s">
        <v>111</v>
      </c>
      <c r="E14" s="38">
        <v>4</v>
      </c>
      <c r="F14" s="38">
        <v>7</v>
      </c>
      <c r="G14" s="38">
        <f>F14-E14</f>
        <v>3</v>
      </c>
      <c r="H14" s="34">
        <f>IF(F14&gt;50,0.2*G14,0.1*G14)</f>
        <v>0.30000000000000004</v>
      </c>
      <c r="I14" s="35" t="s">
        <v>133</v>
      </c>
      <c r="J14" s="40" t="s">
        <v>134</v>
      </c>
      <c r="K14" s="40" t="s">
        <v>109</v>
      </c>
    </row>
    <row r="15" spans="1:14" ht="15.5">
      <c r="A15" s="41" t="s">
        <v>100</v>
      </c>
      <c r="B15" s="42">
        <v>1014</v>
      </c>
      <c r="C15" s="40">
        <v>8722</v>
      </c>
      <c r="D15" s="40" t="s">
        <v>107</v>
      </c>
      <c r="E15" s="38">
        <v>344</v>
      </c>
      <c r="F15" s="38">
        <v>502</v>
      </c>
      <c r="G15" s="38">
        <f>F15-E15</f>
        <v>158</v>
      </c>
      <c r="H15" s="34">
        <f>IF(F15&gt;50,0.2*G15,0.1*G15)</f>
        <v>31.6</v>
      </c>
      <c r="I15" s="35" t="s">
        <v>129</v>
      </c>
      <c r="J15" s="40" t="s">
        <v>130</v>
      </c>
      <c r="K15" s="40" t="s">
        <v>104</v>
      </c>
    </row>
    <row r="16" spans="1:14" ht="15.5">
      <c r="A16" s="41" t="s">
        <v>100</v>
      </c>
      <c r="B16" s="42">
        <v>1015</v>
      </c>
      <c r="C16" s="40">
        <v>2877</v>
      </c>
      <c r="D16" s="40" t="s">
        <v>103</v>
      </c>
      <c r="E16" s="38">
        <v>11.4</v>
      </c>
      <c r="F16" s="38">
        <v>16.3</v>
      </c>
      <c r="G16" s="38">
        <f>F16-E16</f>
        <v>4.9000000000000004</v>
      </c>
      <c r="H16" s="34">
        <f>IF(F16&gt;50,0.2*G16,0.1*G16)</f>
        <v>0.49000000000000005</v>
      </c>
      <c r="I16" s="35" t="s">
        <v>133</v>
      </c>
      <c r="J16" s="40" t="s">
        <v>134</v>
      </c>
      <c r="K16" s="40" t="s">
        <v>106</v>
      </c>
    </row>
    <row r="17" spans="1:11" ht="15.5">
      <c r="A17" s="41" t="s">
        <v>100</v>
      </c>
      <c r="B17" s="42">
        <v>1016</v>
      </c>
      <c r="C17" s="40">
        <v>2499</v>
      </c>
      <c r="D17" s="40" t="s">
        <v>105</v>
      </c>
      <c r="E17" s="38">
        <v>6.2</v>
      </c>
      <c r="F17" s="38">
        <v>9.1999999999999993</v>
      </c>
      <c r="G17" s="38">
        <f>F17-E17</f>
        <v>2.9999999999999991</v>
      </c>
      <c r="H17" s="34">
        <f>IF(F17&gt;50,0.2*G17,0.1*G17)</f>
        <v>0.29999999999999993</v>
      </c>
      <c r="I17" s="35" t="s">
        <v>132</v>
      </c>
      <c r="J17" s="40" t="s">
        <v>10</v>
      </c>
      <c r="K17" s="40" t="s">
        <v>104</v>
      </c>
    </row>
    <row r="18" spans="1:11" ht="15.5">
      <c r="A18" s="41" t="s">
        <v>112</v>
      </c>
      <c r="B18" s="42">
        <v>1017</v>
      </c>
      <c r="C18" s="40">
        <v>2242</v>
      </c>
      <c r="D18" s="40" t="s">
        <v>113</v>
      </c>
      <c r="E18" s="38">
        <v>60</v>
      </c>
      <c r="F18" s="38">
        <v>124</v>
      </c>
      <c r="G18" s="38">
        <f>F18-E18</f>
        <v>64</v>
      </c>
      <c r="H18" s="34">
        <f>IF(F18&gt;50,0.2*G18,0.1*G18)</f>
        <v>12.8</v>
      </c>
      <c r="I18" s="35" t="s">
        <v>131</v>
      </c>
      <c r="J18" s="40" t="s">
        <v>9</v>
      </c>
      <c r="K18" s="40" t="s">
        <v>102</v>
      </c>
    </row>
    <row r="19" spans="1:11" ht="15.5">
      <c r="A19" s="41" t="s">
        <v>112</v>
      </c>
      <c r="B19" s="42">
        <v>1018</v>
      </c>
      <c r="C19" s="40">
        <v>1109</v>
      </c>
      <c r="D19" s="40" t="s">
        <v>108</v>
      </c>
      <c r="E19" s="38">
        <v>3</v>
      </c>
      <c r="F19" s="38">
        <v>8</v>
      </c>
      <c r="G19" s="38">
        <f>F19-E19</f>
        <v>5</v>
      </c>
      <c r="H19" s="34">
        <f>IF(F19&gt;50,0.2*G19,0.1*G19)</f>
        <v>0.5</v>
      </c>
      <c r="I19" s="35" t="s">
        <v>132</v>
      </c>
      <c r="J19" s="40" t="s">
        <v>10</v>
      </c>
      <c r="K19" s="40" t="s">
        <v>104</v>
      </c>
    </row>
    <row r="20" spans="1:11" ht="15.5">
      <c r="A20" s="41" t="s">
        <v>112</v>
      </c>
      <c r="B20" s="42">
        <v>1019</v>
      </c>
      <c r="C20" s="40">
        <v>2499</v>
      </c>
      <c r="D20" s="40" t="s">
        <v>105</v>
      </c>
      <c r="E20" s="38">
        <v>6.2</v>
      </c>
      <c r="F20" s="38">
        <v>9.1999999999999993</v>
      </c>
      <c r="G20" s="38">
        <f>F20-E20</f>
        <v>2.9999999999999991</v>
      </c>
      <c r="H20" s="34">
        <f>IF(F20&gt;50,0.2*G20,0.1*G20)</f>
        <v>0.29999999999999993</v>
      </c>
      <c r="I20" s="35" t="s">
        <v>132</v>
      </c>
      <c r="J20" s="40" t="s">
        <v>10</v>
      </c>
      <c r="K20" s="40" t="s">
        <v>109</v>
      </c>
    </row>
    <row r="21" spans="1:11" ht="15.5">
      <c r="A21" s="41" t="s">
        <v>112</v>
      </c>
      <c r="B21" s="42">
        <v>1020</v>
      </c>
      <c r="C21" s="40">
        <v>2499</v>
      </c>
      <c r="D21" s="40" t="s">
        <v>105</v>
      </c>
      <c r="E21" s="38">
        <v>6.2</v>
      </c>
      <c r="F21" s="38">
        <v>9.1999999999999993</v>
      </c>
      <c r="G21" s="38">
        <f>F21-E21</f>
        <v>2.9999999999999991</v>
      </c>
      <c r="H21" s="34">
        <f>IF(F21&gt;50,0.2*G21,0.1*G21)</f>
        <v>0.29999999999999993</v>
      </c>
      <c r="I21" s="35" t="s">
        <v>132</v>
      </c>
      <c r="J21" s="40" t="s">
        <v>10</v>
      </c>
      <c r="K21" s="40" t="s">
        <v>114</v>
      </c>
    </row>
    <row r="22" spans="1:11" ht="15.5">
      <c r="A22" s="41" t="s">
        <v>112</v>
      </c>
      <c r="B22" s="42">
        <v>1021</v>
      </c>
      <c r="C22" s="40">
        <v>1109</v>
      </c>
      <c r="D22" s="40" t="s">
        <v>108</v>
      </c>
      <c r="E22" s="38">
        <v>3</v>
      </c>
      <c r="F22" s="38">
        <v>8</v>
      </c>
      <c r="G22" s="38">
        <f>F22-E22</f>
        <v>5</v>
      </c>
      <c r="H22" s="34">
        <f>IF(F22&gt;50,0.2*G22,0.1*G22)</f>
        <v>0.5</v>
      </c>
      <c r="I22" s="35" t="s">
        <v>131</v>
      </c>
      <c r="J22" s="40" t="s">
        <v>9</v>
      </c>
      <c r="K22" s="40" t="s">
        <v>109</v>
      </c>
    </row>
    <row r="23" spans="1:11" ht="15.5">
      <c r="A23" s="41" t="s">
        <v>112</v>
      </c>
      <c r="B23" s="42">
        <v>1022</v>
      </c>
      <c r="C23" s="40">
        <v>2877</v>
      </c>
      <c r="D23" s="40" t="s">
        <v>103</v>
      </c>
      <c r="E23" s="38">
        <v>11.4</v>
      </c>
      <c r="F23" s="38">
        <v>16.3</v>
      </c>
      <c r="G23" s="38">
        <f>F23-E23</f>
        <v>4.9000000000000004</v>
      </c>
      <c r="H23" s="34">
        <f>IF(F23&gt;50,0.2*G23,0.1*G23)</f>
        <v>0.49000000000000005</v>
      </c>
      <c r="I23" s="35" t="s">
        <v>132</v>
      </c>
      <c r="J23" s="40" t="s">
        <v>10</v>
      </c>
      <c r="K23" s="40" t="s">
        <v>115</v>
      </c>
    </row>
    <row r="24" spans="1:11" ht="15.5">
      <c r="A24" s="41" t="s">
        <v>112</v>
      </c>
      <c r="B24" s="42">
        <v>1023</v>
      </c>
      <c r="C24" s="40">
        <v>1109</v>
      </c>
      <c r="D24" s="40" t="s">
        <v>108</v>
      </c>
      <c r="E24" s="38">
        <v>3</v>
      </c>
      <c r="F24" s="38">
        <v>8</v>
      </c>
      <c r="G24" s="38">
        <f>F24-E24</f>
        <v>5</v>
      </c>
      <c r="H24" s="34">
        <f>IF(F24&gt;50,0.2*G24,0.1*G24)</f>
        <v>0.5</v>
      </c>
      <c r="I24" s="35" t="s">
        <v>133</v>
      </c>
      <c r="J24" s="40" t="s">
        <v>134</v>
      </c>
      <c r="K24" s="40" t="s">
        <v>102</v>
      </c>
    </row>
    <row r="25" spans="1:11" ht="15.5">
      <c r="A25" s="41" t="s">
        <v>112</v>
      </c>
      <c r="B25" s="42">
        <v>1024</v>
      </c>
      <c r="C25" s="40">
        <v>9212</v>
      </c>
      <c r="D25" s="40" t="s">
        <v>111</v>
      </c>
      <c r="E25" s="38">
        <v>4</v>
      </c>
      <c r="F25" s="38">
        <v>7</v>
      </c>
      <c r="G25" s="38">
        <f>F25-E25</f>
        <v>3</v>
      </c>
      <c r="H25" s="34">
        <f>IF(F25&gt;50,0.2*G25,0.1*G25)</f>
        <v>0.30000000000000004</v>
      </c>
      <c r="I25" s="35" t="s">
        <v>131</v>
      </c>
      <c r="J25" s="40" t="s">
        <v>9</v>
      </c>
      <c r="K25" s="40" t="s">
        <v>115</v>
      </c>
    </row>
    <row r="26" spans="1:11" ht="15.5">
      <c r="A26" s="41" t="s">
        <v>112</v>
      </c>
      <c r="B26" s="42">
        <v>1025</v>
      </c>
      <c r="C26" s="40">
        <v>2877</v>
      </c>
      <c r="D26" s="40" t="s">
        <v>103</v>
      </c>
      <c r="E26" s="38">
        <v>11.4</v>
      </c>
      <c r="F26" s="38">
        <v>16.3</v>
      </c>
      <c r="G26" s="38">
        <f>F26-E26</f>
        <v>4.9000000000000004</v>
      </c>
      <c r="H26" s="34">
        <f>IF(F26&gt;50,0.2*G26,0.1*G26)</f>
        <v>0.49000000000000005</v>
      </c>
      <c r="I26" s="35" t="s">
        <v>133</v>
      </c>
      <c r="J26" s="40" t="s">
        <v>134</v>
      </c>
      <c r="K26" s="40" t="s">
        <v>114</v>
      </c>
    </row>
    <row r="27" spans="1:11" ht="15.5">
      <c r="A27" s="41" t="s">
        <v>112</v>
      </c>
      <c r="B27" s="42">
        <v>1026</v>
      </c>
      <c r="C27" s="40">
        <v>6119</v>
      </c>
      <c r="D27" s="40" t="s">
        <v>116</v>
      </c>
      <c r="E27" s="38">
        <v>9</v>
      </c>
      <c r="F27" s="38">
        <v>14</v>
      </c>
      <c r="G27" s="38">
        <f>F27-E27</f>
        <v>5</v>
      </c>
      <c r="H27" s="34">
        <f>IF(F27&gt;50,0.2*G27,0.1*G27)</f>
        <v>0.5</v>
      </c>
      <c r="I27" s="35" t="s">
        <v>133</v>
      </c>
      <c r="J27" s="40" t="s">
        <v>134</v>
      </c>
      <c r="K27" s="40" t="s">
        <v>102</v>
      </c>
    </row>
    <row r="28" spans="1:11" ht="15.5">
      <c r="A28" s="41" t="s">
        <v>112</v>
      </c>
      <c r="B28" s="42">
        <v>1027</v>
      </c>
      <c r="C28" s="40">
        <v>6119</v>
      </c>
      <c r="D28" s="40" t="s">
        <v>116</v>
      </c>
      <c r="E28" s="38">
        <v>9</v>
      </c>
      <c r="F28" s="38">
        <v>14</v>
      </c>
      <c r="G28" s="38">
        <f>F28-E28</f>
        <v>5</v>
      </c>
      <c r="H28" s="34">
        <f>IF(F28&gt;50,0.2*G28,0.1*G28)</f>
        <v>0.5</v>
      </c>
      <c r="I28" s="35" t="s">
        <v>129</v>
      </c>
      <c r="J28" s="40" t="s">
        <v>130</v>
      </c>
      <c r="K28" s="40" t="s">
        <v>114</v>
      </c>
    </row>
    <row r="29" spans="1:11" ht="15.5">
      <c r="A29" s="41" t="s">
        <v>112</v>
      </c>
      <c r="B29" s="42">
        <v>1028</v>
      </c>
      <c r="C29" s="40">
        <v>8722</v>
      </c>
      <c r="D29" s="40" t="s">
        <v>107</v>
      </c>
      <c r="E29" s="38">
        <v>344</v>
      </c>
      <c r="F29" s="38">
        <v>502</v>
      </c>
      <c r="G29" s="38">
        <f>F29-E29</f>
        <v>158</v>
      </c>
      <c r="H29" s="34">
        <f>IF(F29&gt;50,0.2*G29,0.1*G29)</f>
        <v>31.6</v>
      </c>
      <c r="I29" s="35" t="s">
        <v>129</v>
      </c>
      <c r="J29" s="40" t="s">
        <v>130</v>
      </c>
      <c r="K29" s="40" t="s">
        <v>106</v>
      </c>
    </row>
    <row r="30" spans="1:11" ht="15.5">
      <c r="A30" s="41" t="s">
        <v>112</v>
      </c>
      <c r="B30" s="42">
        <v>1029</v>
      </c>
      <c r="C30" s="40">
        <v>2499</v>
      </c>
      <c r="D30" s="40" t="s">
        <v>105</v>
      </c>
      <c r="E30" s="38">
        <v>6.2</v>
      </c>
      <c r="F30" s="38">
        <v>9.1999999999999993</v>
      </c>
      <c r="G30" s="38">
        <f>F30-E30</f>
        <v>2.9999999999999991</v>
      </c>
      <c r="H30" s="34">
        <f>IF(F30&gt;50,0.2*G30,0.1*G30)</f>
        <v>0.29999999999999993</v>
      </c>
      <c r="I30" s="35" t="s">
        <v>131</v>
      </c>
      <c r="J30" s="40" t="s">
        <v>9</v>
      </c>
      <c r="K30" s="40" t="s">
        <v>106</v>
      </c>
    </row>
    <row r="31" spans="1:11" ht="15.5">
      <c r="A31" s="41" t="s">
        <v>112</v>
      </c>
      <c r="B31" s="42">
        <v>1030</v>
      </c>
      <c r="C31" s="40">
        <v>4421</v>
      </c>
      <c r="D31" s="40" t="s">
        <v>110</v>
      </c>
      <c r="E31" s="38">
        <v>45</v>
      </c>
      <c r="F31" s="38">
        <v>87</v>
      </c>
      <c r="G31" s="38">
        <f>F31-E31</f>
        <v>42</v>
      </c>
      <c r="H31" s="34">
        <f>IF(F31&gt;50,0.2*G31,0.1*G31)</f>
        <v>8.4</v>
      </c>
      <c r="I31" s="35" t="s">
        <v>131</v>
      </c>
      <c r="J31" s="40" t="s">
        <v>9</v>
      </c>
      <c r="K31" s="40" t="s">
        <v>114</v>
      </c>
    </row>
    <row r="32" spans="1:11" ht="15.5">
      <c r="A32" s="41" t="s">
        <v>112</v>
      </c>
      <c r="B32" s="42">
        <v>1031</v>
      </c>
      <c r="C32" s="40">
        <v>1109</v>
      </c>
      <c r="D32" s="40" t="s">
        <v>108</v>
      </c>
      <c r="E32" s="38">
        <v>3</v>
      </c>
      <c r="F32" s="38">
        <v>8</v>
      </c>
      <c r="G32" s="38">
        <f>F32-E32</f>
        <v>5</v>
      </c>
      <c r="H32" s="34">
        <f>IF(F32&gt;50,0.2*G32,0.1*G32)</f>
        <v>0.5</v>
      </c>
      <c r="I32" s="35" t="s">
        <v>131</v>
      </c>
      <c r="J32" s="40" t="s">
        <v>9</v>
      </c>
      <c r="K32" s="40" t="s">
        <v>104</v>
      </c>
    </row>
    <row r="33" spans="1:11" ht="15.5">
      <c r="A33" s="41" t="s">
        <v>112</v>
      </c>
      <c r="B33" s="42">
        <v>1032</v>
      </c>
      <c r="C33" s="40">
        <v>2877</v>
      </c>
      <c r="D33" s="40" t="s">
        <v>103</v>
      </c>
      <c r="E33" s="38">
        <v>11.4</v>
      </c>
      <c r="F33" s="38">
        <v>16.3</v>
      </c>
      <c r="G33" s="38">
        <f>F33-E33</f>
        <v>4.9000000000000004</v>
      </c>
      <c r="H33" s="34">
        <f>IF(F33&gt;50,0.2*G33,0.1*G33)</f>
        <v>0.49000000000000005</v>
      </c>
      <c r="I33" s="35" t="s">
        <v>129</v>
      </c>
      <c r="J33" s="40" t="s">
        <v>130</v>
      </c>
      <c r="K33" s="40" t="s">
        <v>106</v>
      </c>
    </row>
    <row r="34" spans="1:11" ht="15.5">
      <c r="A34" s="41" t="s">
        <v>112</v>
      </c>
      <c r="B34" s="42">
        <v>1033</v>
      </c>
      <c r="C34" s="40">
        <v>9822</v>
      </c>
      <c r="D34" s="40" t="s">
        <v>101</v>
      </c>
      <c r="E34" s="38">
        <v>58.3</v>
      </c>
      <c r="F34" s="38">
        <v>98.4</v>
      </c>
      <c r="G34" s="38">
        <f>F34-E34</f>
        <v>40.100000000000009</v>
      </c>
      <c r="H34" s="34">
        <f>IF(F34&gt;50,0.2*G34,0.1*G34)</f>
        <v>8.0200000000000014</v>
      </c>
      <c r="I34" s="35" t="s">
        <v>131</v>
      </c>
      <c r="J34" s="40" t="s">
        <v>9</v>
      </c>
      <c r="K34" s="40" t="s">
        <v>104</v>
      </c>
    </row>
    <row r="35" spans="1:11" ht="15.5">
      <c r="A35" s="41" t="s">
        <v>112</v>
      </c>
      <c r="B35" s="42">
        <v>1034</v>
      </c>
      <c r="C35" s="40">
        <v>2877</v>
      </c>
      <c r="D35" s="40" t="s">
        <v>103</v>
      </c>
      <c r="E35" s="38">
        <v>11.4</v>
      </c>
      <c r="F35" s="38">
        <v>16.3</v>
      </c>
      <c r="G35" s="38">
        <f>F35-E35</f>
        <v>4.9000000000000004</v>
      </c>
      <c r="H35" s="34">
        <f>IF(F35&gt;50,0.2*G35,0.1*G35)</f>
        <v>0.49000000000000005</v>
      </c>
      <c r="I35" s="35" t="s">
        <v>131</v>
      </c>
      <c r="J35" s="40" t="s">
        <v>9</v>
      </c>
      <c r="K35" s="40" t="s">
        <v>109</v>
      </c>
    </row>
    <row r="36" spans="1:11" ht="15.5">
      <c r="A36" s="41" t="s">
        <v>117</v>
      </c>
      <c r="B36" s="42">
        <v>1035</v>
      </c>
      <c r="C36" s="40">
        <v>2499</v>
      </c>
      <c r="D36" s="40" t="s">
        <v>105</v>
      </c>
      <c r="E36" s="38">
        <v>6.2</v>
      </c>
      <c r="F36" s="38">
        <v>9.1999999999999993</v>
      </c>
      <c r="G36" s="38">
        <f>F36-E36</f>
        <v>2.9999999999999991</v>
      </c>
      <c r="H36" s="34">
        <f>IF(F36&gt;50,0.2*G36,0.1*G36)</f>
        <v>0.29999999999999993</v>
      </c>
      <c r="I36" s="35" t="s">
        <v>133</v>
      </c>
      <c r="J36" s="40" t="s">
        <v>134</v>
      </c>
      <c r="K36" s="40" t="s">
        <v>104</v>
      </c>
    </row>
    <row r="37" spans="1:11" ht="15.5">
      <c r="A37" s="41" t="s">
        <v>117</v>
      </c>
      <c r="B37" s="42">
        <v>1036</v>
      </c>
      <c r="C37" s="40">
        <v>2499</v>
      </c>
      <c r="D37" s="40" t="s">
        <v>105</v>
      </c>
      <c r="E37" s="38">
        <v>6.2</v>
      </c>
      <c r="F37" s="38">
        <v>9.1999999999999993</v>
      </c>
      <c r="G37" s="38">
        <f>F37-E37</f>
        <v>2.9999999999999991</v>
      </c>
      <c r="H37" s="34">
        <f>IF(F37&gt;50,0.2*G37,0.1*G37)</f>
        <v>0.29999999999999993</v>
      </c>
      <c r="I37" s="35" t="s">
        <v>131</v>
      </c>
      <c r="J37" s="40" t="s">
        <v>9</v>
      </c>
      <c r="K37" s="40" t="s">
        <v>114</v>
      </c>
    </row>
    <row r="38" spans="1:11" ht="15.5">
      <c r="A38" s="41" t="s">
        <v>117</v>
      </c>
      <c r="B38" s="42">
        <v>1037</v>
      </c>
      <c r="C38" s="40">
        <v>6622</v>
      </c>
      <c r="D38" s="40" t="s">
        <v>118</v>
      </c>
      <c r="E38" s="38">
        <v>42</v>
      </c>
      <c r="F38" s="38">
        <v>77</v>
      </c>
      <c r="G38" s="38">
        <f>F38-E38</f>
        <v>35</v>
      </c>
      <c r="H38" s="34">
        <f>IF(F38&gt;50,0.2*G38,0.1*G38)</f>
        <v>7</v>
      </c>
      <c r="I38" s="35" t="s">
        <v>131</v>
      </c>
      <c r="J38" s="40" t="s">
        <v>9</v>
      </c>
      <c r="K38" s="40" t="s">
        <v>114</v>
      </c>
    </row>
    <row r="39" spans="1:11" ht="15.5">
      <c r="A39" s="41" t="s">
        <v>117</v>
      </c>
      <c r="B39" s="42">
        <v>1038</v>
      </c>
      <c r="C39" s="40">
        <v>2499</v>
      </c>
      <c r="D39" s="40" t="s">
        <v>105</v>
      </c>
      <c r="E39" s="38">
        <v>6.2</v>
      </c>
      <c r="F39" s="38">
        <v>9.1999999999999993</v>
      </c>
      <c r="G39" s="38">
        <f>F39-E39</f>
        <v>2.9999999999999991</v>
      </c>
      <c r="H39" s="34">
        <f>IF(F39&gt;50,0.2*G39,0.1*G39)</f>
        <v>0.29999999999999993</v>
      </c>
      <c r="I39" s="35" t="s">
        <v>131</v>
      </c>
      <c r="J39" s="40" t="s">
        <v>9</v>
      </c>
      <c r="K39" s="40" t="s">
        <v>114</v>
      </c>
    </row>
    <row r="40" spans="1:11" ht="15.5">
      <c r="A40" s="41" t="s">
        <v>117</v>
      </c>
      <c r="B40" s="42">
        <v>1039</v>
      </c>
      <c r="C40" s="40">
        <v>2877</v>
      </c>
      <c r="D40" s="40" t="s">
        <v>103</v>
      </c>
      <c r="E40" s="38">
        <v>11.4</v>
      </c>
      <c r="F40" s="38">
        <v>16.3</v>
      </c>
      <c r="G40" s="38">
        <f>F40-E40</f>
        <v>4.9000000000000004</v>
      </c>
      <c r="H40" s="34">
        <f>IF(F40&gt;50,0.2*G40,0.1*G40)</f>
        <v>0.49000000000000005</v>
      </c>
      <c r="I40" s="35" t="s">
        <v>131</v>
      </c>
      <c r="J40" s="40" t="s">
        <v>9</v>
      </c>
      <c r="K40" s="40" t="s">
        <v>104</v>
      </c>
    </row>
    <row r="41" spans="1:11" ht="15.5">
      <c r="A41" s="41" t="s">
        <v>117</v>
      </c>
      <c r="B41" s="42">
        <v>1040</v>
      </c>
      <c r="C41" s="40">
        <v>1109</v>
      </c>
      <c r="D41" s="40" t="s">
        <v>108</v>
      </c>
      <c r="E41" s="38">
        <v>3</v>
      </c>
      <c r="F41" s="38">
        <v>8</v>
      </c>
      <c r="G41" s="38">
        <f>F41-E41</f>
        <v>5</v>
      </c>
      <c r="H41" s="34">
        <f>IF(F41&gt;50,0.2*G41,0.1*G41)</f>
        <v>0.5</v>
      </c>
      <c r="I41" s="35" t="s">
        <v>131</v>
      </c>
      <c r="J41" s="40" t="s">
        <v>9</v>
      </c>
      <c r="K41" s="40" t="s">
        <v>106</v>
      </c>
    </row>
    <row r="42" spans="1:11" ht="15.5">
      <c r="A42" s="41" t="s">
        <v>117</v>
      </c>
      <c r="B42" s="42">
        <v>1041</v>
      </c>
      <c r="C42" s="40">
        <v>2499</v>
      </c>
      <c r="D42" s="40" t="s">
        <v>105</v>
      </c>
      <c r="E42" s="38">
        <v>6.2</v>
      </c>
      <c r="F42" s="38">
        <v>9.1999999999999993</v>
      </c>
      <c r="G42" s="38">
        <f>F42-E42</f>
        <v>2.9999999999999991</v>
      </c>
      <c r="H42" s="34">
        <f>IF(F42&gt;50,0.2*G42,0.1*G42)</f>
        <v>0.29999999999999993</v>
      </c>
      <c r="I42" s="35" t="s">
        <v>129</v>
      </c>
      <c r="J42" s="40" t="s">
        <v>130</v>
      </c>
      <c r="K42" s="40" t="s">
        <v>102</v>
      </c>
    </row>
    <row r="43" spans="1:11" ht="15.5">
      <c r="A43" s="41" t="s">
        <v>117</v>
      </c>
      <c r="B43" s="42">
        <v>1042</v>
      </c>
      <c r="C43" s="40">
        <v>8722</v>
      </c>
      <c r="D43" s="40" t="s">
        <v>107</v>
      </c>
      <c r="E43" s="38">
        <v>344</v>
      </c>
      <c r="F43" s="38">
        <v>502</v>
      </c>
      <c r="G43" s="38">
        <f>F43-E43</f>
        <v>158</v>
      </c>
      <c r="H43" s="34">
        <f>IF(F43&gt;50,0.2*G43,0.1*G43)</f>
        <v>31.6</v>
      </c>
      <c r="I43" s="35" t="s">
        <v>132</v>
      </c>
      <c r="J43" s="40" t="s">
        <v>10</v>
      </c>
      <c r="K43" s="40" t="s">
        <v>102</v>
      </c>
    </row>
    <row r="44" spans="1:11" ht="15.5">
      <c r="A44" s="41" t="s">
        <v>117</v>
      </c>
      <c r="B44" s="42">
        <v>1043</v>
      </c>
      <c r="C44" s="40">
        <v>2242</v>
      </c>
      <c r="D44" s="40" t="s">
        <v>113</v>
      </c>
      <c r="E44" s="38">
        <v>60</v>
      </c>
      <c r="F44" s="38">
        <v>124</v>
      </c>
      <c r="G44" s="38">
        <f>F44-E44</f>
        <v>64</v>
      </c>
      <c r="H44" s="34">
        <f>IF(F44&gt;50,0.2*G44,0.1*G44)</f>
        <v>12.8</v>
      </c>
      <c r="I44" s="35" t="s">
        <v>132</v>
      </c>
      <c r="J44" s="40" t="s">
        <v>10</v>
      </c>
      <c r="K44" s="40" t="s">
        <v>104</v>
      </c>
    </row>
    <row r="45" spans="1:11" ht="15.5">
      <c r="A45" s="41" t="s">
        <v>117</v>
      </c>
      <c r="B45" s="42">
        <v>1044</v>
      </c>
      <c r="C45" s="40">
        <v>2877</v>
      </c>
      <c r="D45" s="40" t="s">
        <v>103</v>
      </c>
      <c r="E45" s="38">
        <v>11.4</v>
      </c>
      <c r="F45" s="38">
        <v>16.3</v>
      </c>
      <c r="G45" s="38">
        <f>F45-E45</f>
        <v>4.9000000000000004</v>
      </c>
      <c r="H45" s="34">
        <f>IF(F45&gt;50,0.2*G45,0.1*G45)</f>
        <v>0.49000000000000005</v>
      </c>
      <c r="I45" s="35" t="s">
        <v>132</v>
      </c>
      <c r="J45" s="40" t="s">
        <v>10</v>
      </c>
      <c r="K45" s="40" t="s">
        <v>104</v>
      </c>
    </row>
    <row r="46" spans="1:11" ht="15.5">
      <c r="A46" s="41" t="s">
        <v>117</v>
      </c>
      <c r="B46" s="42">
        <v>1045</v>
      </c>
      <c r="C46" s="40">
        <v>8722</v>
      </c>
      <c r="D46" s="40" t="s">
        <v>107</v>
      </c>
      <c r="E46" s="38">
        <v>344</v>
      </c>
      <c r="F46" s="38">
        <v>502</v>
      </c>
      <c r="G46" s="38">
        <f>F46-E46</f>
        <v>158</v>
      </c>
      <c r="H46" s="34">
        <f>IF(F46&gt;50,0.2*G46,0.1*G46)</f>
        <v>31.6</v>
      </c>
      <c r="I46" s="35" t="s">
        <v>133</v>
      </c>
      <c r="J46" s="40" t="s">
        <v>134</v>
      </c>
      <c r="K46" s="40" t="s">
        <v>106</v>
      </c>
    </row>
    <row r="47" spans="1:11" ht="15.5">
      <c r="A47" s="41" t="s">
        <v>117</v>
      </c>
      <c r="B47" s="42">
        <v>1046</v>
      </c>
      <c r="C47" s="40">
        <v>6119</v>
      </c>
      <c r="D47" s="40" t="s">
        <v>116</v>
      </c>
      <c r="E47" s="38">
        <v>9</v>
      </c>
      <c r="F47" s="38">
        <v>14</v>
      </c>
      <c r="G47" s="38">
        <f>F47-E47</f>
        <v>5</v>
      </c>
      <c r="H47" s="34">
        <f>IF(F47&gt;50,0.2*G47,0.1*G47)</f>
        <v>0.5</v>
      </c>
      <c r="I47" s="35" t="s">
        <v>131</v>
      </c>
      <c r="J47" s="40" t="s">
        <v>9</v>
      </c>
      <c r="K47" s="40" t="s">
        <v>115</v>
      </c>
    </row>
    <row r="48" spans="1:11" ht="15.5">
      <c r="A48" s="41" t="s">
        <v>117</v>
      </c>
      <c r="B48" s="42">
        <v>1047</v>
      </c>
      <c r="C48" s="40">
        <v>6622</v>
      </c>
      <c r="D48" s="40" t="s">
        <v>118</v>
      </c>
      <c r="E48" s="38">
        <v>42</v>
      </c>
      <c r="F48" s="38">
        <v>77</v>
      </c>
      <c r="G48" s="38">
        <f>F48-E48</f>
        <v>35</v>
      </c>
      <c r="H48" s="34">
        <f>IF(F48&gt;50,0.2*G48,0.1*G48)</f>
        <v>7</v>
      </c>
      <c r="I48" s="35" t="s">
        <v>133</v>
      </c>
      <c r="J48" s="40" t="s">
        <v>134</v>
      </c>
      <c r="K48" s="40" t="s">
        <v>106</v>
      </c>
    </row>
    <row r="49" spans="1:11" ht="15.5">
      <c r="A49" s="41" t="s">
        <v>117</v>
      </c>
      <c r="B49" s="42">
        <v>1048</v>
      </c>
      <c r="C49" s="40">
        <v>8722</v>
      </c>
      <c r="D49" s="40" t="s">
        <v>107</v>
      </c>
      <c r="E49" s="38">
        <v>344</v>
      </c>
      <c r="F49" s="38">
        <v>502</v>
      </c>
      <c r="G49" s="38">
        <f>F49-E49</f>
        <v>158</v>
      </c>
      <c r="H49" s="34">
        <f>IF(F49&gt;50,0.2*G49,0.1*G49)</f>
        <v>31.6</v>
      </c>
      <c r="I49" s="35" t="s">
        <v>129</v>
      </c>
      <c r="J49" s="40" t="s">
        <v>130</v>
      </c>
      <c r="K49" s="40" t="s">
        <v>106</v>
      </c>
    </row>
    <row r="50" spans="1:11" ht="15.5">
      <c r="A50" s="41" t="s">
        <v>119</v>
      </c>
      <c r="B50" s="42">
        <v>1049</v>
      </c>
      <c r="C50" s="40">
        <v>2499</v>
      </c>
      <c r="D50" s="40" t="s">
        <v>105</v>
      </c>
      <c r="E50" s="38">
        <v>6.2</v>
      </c>
      <c r="F50" s="38">
        <v>9.1999999999999993</v>
      </c>
      <c r="G50" s="38">
        <f>F50-E50</f>
        <v>2.9999999999999991</v>
      </c>
      <c r="H50" s="34">
        <f>IF(F50&gt;50,0.2*G50,0.1*G50)</f>
        <v>0.29999999999999993</v>
      </c>
      <c r="I50" s="35" t="s">
        <v>129</v>
      </c>
      <c r="J50" s="40" t="s">
        <v>130</v>
      </c>
      <c r="K50" s="40" t="s">
        <v>109</v>
      </c>
    </row>
    <row r="51" spans="1:11" ht="15.5">
      <c r="A51" s="41" t="s">
        <v>119</v>
      </c>
      <c r="B51" s="42">
        <v>1050</v>
      </c>
      <c r="C51" s="40">
        <v>2877</v>
      </c>
      <c r="D51" s="40" t="s">
        <v>103</v>
      </c>
      <c r="E51" s="38">
        <v>11.4</v>
      </c>
      <c r="F51" s="38">
        <v>16.3</v>
      </c>
      <c r="G51" s="38">
        <f>F51-E51</f>
        <v>4.9000000000000004</v>
      </c>
      <c r="H51" s="34">
        <f>IF(F51&gt;50,0.2*G51,0.1*G51)</f>
        <v>0.49000000000000005</v>
      </c>
      <c r="I51" s="35" t="s">
        <v>129</v>
      </c>
      <c r="J51" s="40" t="s">
        <v>130</v>
      </c>
      <c r="K51" s="40" t="s">
        <v>106</v>
      </c>
    </row>
    <row r="52" spans="1:11" ht="15.5">
      <c r="A52" s="41" t="s">
        <v>119</v>
      </c>
      <c r="B52" s="42">
        <v>1051</v>
      </c>
      <c r="C52" s="40">
        <v>6119</v>
      </c>
      <c r="D52" s="40" t="s">
        <v>116</v>
      </c>
      <c r="E52" s="38">
        <v>9</v>
      </c>
      <c r="F52" s="38">
        <v>14</v>
      </c>
      <c r="G52" s="38">
        <f>F52-E52</f>
        <v>5</v>
      </c>
      <c r="H52" s="34">
        <f>IF(F52&gt;50,0.2*G52,0.1*G52)</f>
        <v>0.5</v>
      </c>
      <c r="I52" s="35" t="s">
        <v>132</v>
      </c>
      <c r="J52" s="40" t="s">
        <v>10</v>
      </c>
      <c r="K52" s="40" t="s">
        <v>115</v>
      </c>
    </row>
    <row r="53" spans="1:11" ht="15.5">
      <c r="A53" s="41" t="s">
        <v>119</v>
      </c>
      <c r="B53" s="42">
        <v>1052</v>
      </c>
      <c r="C53" s="40">
        <v>6622</v>
      </c>
      <c r="D53" s="40" t="s">
        <v>118</v>
      </c>
      <c r="E53" s="38">
        <v>42</v>
      </c>
      <c r="F53" s="38">
        <v>77</v>
      </c>
      <c r="G53" s="38">
        <f>F53-E53</f>
        <v>35</v>
      </c>
      <c r="H53" s="34">
        <f>IF(F53&gt;50,0.2*G53,0.1*G53)</f>
        <v>7</v>
      </c>
      <c r="I53" s="35" t="s">
        <v>132</v>
      </c>
      <c r="J53" s="40" t="s">
        <v>10</v>
      </c>
      <c r="K53" s="40" t="s">
        <v>106</v>
      </c>
    </row>
    <row r="54" spans="1:11" ht="15.5">
      <c r="A54" s="41" t="s">
        <v>119</v>
      </c>
      <c r="B54" s="42">
        <v>1053</v>
      </c>
      <c r="C54" s="40">
        <v>2242</v>
      </c>
      <c r="D54" s="40" t="s">
        <v>113</v>
      </c>
      <c r="E54" s="38">
        <v>60</v>
      </c>
      <c r="F54" s="38">
        <v>124</v>
      </c>
      <c r="G54" s="38">
        <f>F54-E54</f>
        <v>64</v>
      </c>
      <c r="H54" s="34">
        <f>IF(F54&gt;50,0.2*G54,0.1*G54)</f>
        <v>12.8</v>
      </c>
      <c r="I54" s="35" t="s">
        <v>129</v>
      </c>
      <c r="J54" s="40" t="s">
        <v>130</v>
      </c>
      <c r="K54" s="40" t="s">
        <v>104</v>
      </c>
    </row>
    <row r="55" spans="1:11" ht="15.5">
      <c r="A55" s="41" t="s">
        <v>119</v>
      </c>
      <c r="B55" s="42">
        <v>1054</v>
      </c>
      <c r="C55" s="40">
        <v>4421</v>
      </c>
      <c r="D55" s="40" t="s">
        <v>110</v>
      </c>
      <c r="E55" s="38">
        <v>45</v>
      </c>
      <c r="F55" s="38">
        <v>87</v>
      </c>
      <c r="G55" s="38">
        <f>F55-E55</f>
        <v>42</v>
      </c>
      <c r="H55" s="34">
        <f>IF(F55&gt;50,0.2*G55,0.1*G55)</f>
        <v>8.4</v>
      </c>
      <c r="I55" s="35" t="s">
        <v>132</v>
      </c>
      <c r="J55" s="40" t="s">
        <v>10</v>
      </c>
      <c r="K55" s="40" t="s">
        <v>114</v>
      </c>
    </row>
    <row r="56" spans="1:11" ht="15.5">
      <c r="A56" s="41" t="s">
        <v>119</v>
      </c>
      <c r="B56" s="42">
        <v>1055</v>
      </c>
      <c r="C56" s="40">
        <v>6119</v>
      </c>
      <c r="D56" s="40" t="s">
        <v>116</v>
      </c>
      <c r="E56" s="38">
        <v>9</v>
      </c>
      <c r="F56" s="38">
        <v>14</v>
      </c>
      <c r="G56" s="38">
        <f>F56-E56</f>
        <v>5</v>
      </c>
      <c r="H56" s="34">
        <f>IF(F56&gt;50,0.2*G56,0.1*G56)</f>
        <v>0.5</v>
      </c>
      <c r="I56" s="35" t="s">
        <v>131</v>
      </c>
      <c r="J56" s="40" t="s">
        <v>9</v>
      </c>
      <c r="K56" s="40" t="s">
        <v>114</v>
      </c>
    </row>
    <row r="57" spans="1:11" ht="15.5">
      <c r="A57" s="41" t="s">
        <v>119</v>
      </c>
      <c r="B57" s="42">
        <v>1056</v>
      </c>
      <c r="C57" s="40">
        <v>1109</v>
      </c>
      <c r="D57" s="40" t="s">
        <v>108</v>
      </c>
      <c r="E57" s="38">
        <v>3</v>
      </c>
      <c r="F57" s="38">
        <v>8</v>
      </c>
      <c r="G57" s="38">
        <f>F57-E57</f>
        <v>5</v>
      </c>
      <c r="H57" s="34">
        <f>IF(F57&gt;50,0.2*G57,0.1*G57)</f>
        <v>0.5</v>
      </c>
      <c r="I57" s="35" t="s">
        <v>132</v>
      </c>
      <c r="J57" s="40" t="s">
        <v>10</v>
      </c>
      <c r="K57" s="40" t="s">
        <v>104</v>
      </c>
    </row>
    <row r="58" spans="1:11" ht="15.5">
      <c r="A58" s="41" t="s">
        <v>119</v>
      </c>
      <c r="B58" s="42">
        <v>1057</v>
      </c>
      <c r="C58" s="40">
        <v>2499</v>
      </c>
      <c r="D58" s="40" t="s">
        <v>105</v>
      </c>
      <c r="E58" s="38">
        <v>6.2</v>
      </c>
      <c r="F58" s="38">
        <v>9.1999999999999993</v>
      </c>
      <c r="G58" s="38">
        <f>F58-E58</f>
        <v>2.9999999999999991</v>
      </c>
      <c r="H58" s="34">
        <f>IF(F58&gt;50,0.2*G58,0.1*G58)</f>
        <v>0.29999999999999993</v>
      </c>
      <c r="I58" s="35" t="s">
        <v>131</v>
      </c>
      <c r="J58" s="40" t="s">
        <v>9</v>
      </c>
      <c r="K58" s="40" t="s">
        <v>104</v>
      </c>
    </row>
    <row r="59" spans="1:11" ht="15.5">
      <c r="A59" s="41" t="s">
        <v>119</v>
      </c>
      <c r="B59" s="42">
        <v>1058</v>
      </c>
      <c r="C59" s="40">
        <v>6119</v>
      </c>
      <c r="D59" s="40" t="s">
        <v>116</v>
      </c>
      <c r="E59" s="38">
        <v>9</v>
      </c>
      <c r="F59" s="38">
        <v>14</v>
      </c>
      <c r="G59" s="38">
        <f>F59-E59</f>
        <v>5</v>
      </c>
      <c r="H59" s="34">
        <f>IF(F59&gt;50,0.2*G59,0.1*G59)</f>
        <v>0.5</v>
      </c>
      <c r="I59" s="35" t="s">
        <v>133</v>
      </c>
      <c r="J59" s="40" t="s">
        <v>134</v>
      </c>
      <c r="K59" s="40" t="s">
        <v>106</v>
      </c>
    </row>
    <row r="60" spans="1:11" ht="15.5">
      <c r="A60" s="41" t="s">
        <v>119</v>
      </c>
      <c r="B60" s="42">
        <v>1059</v>
      </c>
      <c r="C60" s="40">
        <v>2242</v>
      </c>
      <c r="D60" s="40" t="s">
        <v>113</v>
      </c>
      <c r="E60" s="38">
        <v>60</v>
      </c>
      <c r="F60" s="38">
        <v>124</v>
      </c>
      <c r="G60" s="38">
        <f>F60-E60</f>
        <v>64</v>
      </c>
      <c r="H60" s="34">
        <f>IF(F60&gt;50,0.2*G60,0.1*G60)</f>
        <v>12.8</v>
      </c>
      <c r="I60" s="35" t="s">
        <v>132</v>
      </c>
      <c r="J60" s="40" t="s">
        <v>10</v>
      </c>
      <c r="K60" s="40" t="s">
        <v>106</v>
      </c>
    </row>
    <row r="61" spans="1:11" ht="15.5">
      <c r="A61" s="41" t="s">
        <v>119</v>
      </c>
      <c r="B61" s="42">
        <v>1060</v>
      </c>
      <c r="C61" s="40">
        <v>6119</v>
      </c>
      <c r="D61" s="40" t="s">
        <v>116</v>
      </c>
      <c r="E61" s="38">
        <v>9</v>
      </c>
      <c r="F61" s="38">
        <v>14</v>
      </c>
      <c r="G61" s="38">
        <f>F61-E61</f>
        <v>5</v>
      </c>
      <c r="H61" s="34">
        <f>IF(F61&gt;50,0.2*G61,0.1*G61)</f>
        <v>0.5</v>
      </c>
      <c r="I61" s="35" t="s">
        <v>132</v>
      </c>
      <c r="J61" s="40" t="s">
        <v>10</v>
      </c>
      <c r="K61" s="40" t="s">
        <v>114</v>
      </c>
    </row>
    <row r="62" spans="1:11" ht="15.5">
      <c r="A62" s="41" t="s">
        <v>120</v>
      </c>
      <c r="B62" s="42">
        <v>1061</v>
      </c>
      <c r="C62" s="40">
        <v>1109</v>
      </c>
      <c r="D62" s="40" t="s">
        <v>108</v>
      </c>
      <c r="E62" s="38">
        <v>3</v>
      </c>
      <c r="F62" s="38">
        <v>8</v>
      </c>
      <c r="G62" s="38">
        <f>F62-E62</f>
        <v>5</v>
      </c>
      <c r="H62" s="34">
        <f>IF(F62&gt;50,0.2*G62,0.1*G62)</f>
        <v>0.5</v>
      </c>
      <c r="I62" s="35" t="s">
        <v>132</v>
      </c>
      <c r="J62" s="40" t="s">
        <v>10</v>
      </c>
      <c r="K62" s="40" t="s">
        <v>114</v>
      </c>
    </row>
    <row r="63" spans="1:11" ht="15.5">
      <c r="A63" s="41" t="s">
        <v>120</v>
      </c>
      <c r="B63" s="42">
        <v>1062</v>
      </c>
      <c r="C63" s="40">
        <v>2499</v>
      </c>
      <c r="D63" s="40" t="s">
        <v>105</v>
      </c>
      <c r="E63" s="38">
        <v>6.2</v>
      </c>
      <c r="F63" s="38">
        <v>9.1999999999999993</v>
      </c>
      <c r="G63" s="38">
        <f>F63-E63</f>
        <v>2.9999999999999991</v>
      </c>
      <c r="H63" s="34">
        <f>IF(F63&gt;50,0.2*G63,0.1*G63)</f>
        <v>0.29999999999999993</v>
      </c>
      <c r="I63" s="35" t="s">
        <v>129</v>
      </c>
      <c r="J63" s="40" t="s">
        <v>130</v>
      </c>
      <c r="K63" s="40" t="s">
        <v>106</v>
      </c>
    </row>
    <row r="64" spans="1:11" ht="15.5">
      <c r="A64" s="41" t="s">
        <v>120</v>
      </c>
      <c r="B64" s="42">
        <v>1063</v>
      </c>
      <c r="C64" s="40">
        <v>1109</v>
      </c>
      <c r="D64" s="40" t="s">
        <v>108</v>
      </c>
      <c r="E64" s="38">
        <v>3</v>
      </c>
      <c r="F64" s="38">
        <v>8</v>
      </c>
      <c r="G64" s="38">
        <f>F64-E64</f>
        <v>5</v>
      </c>
      <c r="H64" s="34">
        <f>IF(F64&gt;50,0.2*G64,0.1*G64)</f>
        <v>0.5</v>
      </c>
      <c r="I64" s="35" t="s">
        <v>132</v>
      </c>
      <c r="J64" s="40" t="s">
        <v>10</v>
      </c>
      <c r="K64" s="40" t="s">
        <v>104</v>
      </c>
    </row>
    <row r="65" spans="1:11" ht="15.5">
      <c r="A65" s="41" t="s">
        <v>120</v>
      </c>
      <c r="B65" s="42">
        <v>1064</v>
      </c>
      <c r="C65" s="40">
        <v>2499</v>
      </c>
      <c r="D65" s="40" t="s">
        <v>105</v>
      </c>
      <c r="E65" s="38">
        <v>6.2</v>
      </c>
      <c r="F65" s="38">
        <v>9.1999999999999993</v>
      </c>
      <c r="G65" s="38">
        <f>F65-E65</f>
        <v>2.9999999999999991</v>
      </c>
      <c r="H65" s="34">
        <f>IF(F65&gt;50,0.2*G65,0.1*G65)</f>
        <v>0.29999999999999993</v>
      </c>
      <c r="I65" s="35" t="s">
        <v>133</v>
      </c>
      <c r="J65" s="40" t="s">
        <v>134</v>
      </c>
      <c r="K65" s="40" t="s">
        <v>106</v>
      </c>
    </row>
    <row r="66" spans="1:11" ht="15.5">
      <c r="A66" s="41" t="s">
        <v>120</v>
      </c>
      <c r="B66" s="42">
        <v>1065</v>
      </c>
      <c r="C66" s="40">
        <v>2499</v>
      </c>
      <c r="D66" s="40" t="s">
        <v>105</v>
      </c>
      <c r="E66" s="38">
        <v>6.2</v>
      </c>
      <c r="F66" s="38">
        <v>9.1999999999999993</v>
      </c>
      <c r="G66" s="38">
        <f>F66-E66</f>
        <v>2.9999999999999991</v>
      </c>
      <c r="H66" s="34">
        <f>IF(F66&gt;50,0.2*G66,0.1*G66)</f>
        <v>0.29999999999999993</v>
      </c>
      <c r="I66" s="35" t="s">
        <v>132</v>
      </c>
      <c r="J66" s="40" t="s">
        <v>10</v>
      </c>
      <c r="K66" s="40" t="s">
        <v>102</v>
      </c>
    </row>
    <row r="67" spans="1:11" ht="15.5">
      <c r="A67" s="41" t="s">
        <v>120</v>
      </c>
      <c r="B67" s="42">
        <v>1066</v>
      </c>
      <c r="C67" s="40">
        <v>2877</v>
      </c>
      <c r="D67" s="40" t="s">
        <v>103</v>
      </c>
      <c r="E67" s="38">
        <v>11.4</v>
      </c>
      <c r="F67" s="38">
        <v>16.3</v>
      </c>
      <c r="G67" s="38">
        <f>F67-E67</f>
        <v>4.9000000000000004</v>
      </c>
      <c r="H67" s="34">
        <f>IF(F67&gt;50,0.2*G67,0.1*G67)</f>
        <v>0.49000000000000005</v>
      </c>
      <c r="I67" s="35" t="s">
        <v>132</v>
      </c>
      <c r="J67" s="40" t="s">
        <v>10</v>
      </c>
      <c r="K67" s="40" t="s">
        <v>114</v>
      </c>
    </row>
    <row r="68" spans="1:11" ht="15.5">
      <c r="A68" s="41" t="s">
        <v>120</v>
      </c>
      <c r="B68" s="42">
        <v>1067</v>
      </c>
      <c r="C68" s="40">
        <v>2877</v>
      </c>
      <c r="D68" s="40" t="s">
        <v>103</v>
      </c>
      <c r="E68" s="38">
        <v>11.4</v>
      </c>
      <c r="F68" s="38">
        <v>16.3</v>
      </c>
      <c r="G68" s="38">
        <f>F68-E68</f>
        <v>4.9000000000000004</v>
      </c>
      <c r="H68" s="34">
        <f>IF(F68&gt;50,0.2*G68,0.1*G68)</f>
        <v>0.49000000000000005</v>
      </c>
      <c r="I68" s="35" t="s">
        <v>132</v>
      </c>
      <c r="J68" s="40" t="s">
        <v>10</v>
      </c>
      <c r="K68" s="40" t="s">
        <v>115</v>
      </c>
    </row>
    <row r="69" spans="1:11" ht="15.5">
      <c r="A69" s="41" t="s">
        <v>120</v>
      </c>
      <c r="B69" s="42">
        <v>1068</v>
      </c>
      <c r="C69" s="40">
        <v>6119</v>
      </c>
      <c r="D69" s="40" t="s">
        <v>116</v>
      </c>
      <c r="E69" s="38">
        <v>9</v>
      </c>
      <c r="F69" s="38">
        <v>14</v>
      </c>
      <c r="G69" s="38">
        <f>F69-E69</f>
        <v>5</v>
      </c>
      <c r="H69" s="34">
        <f>IF(F69&gt;50,0.2*G69,0.1*G69)</f>
        <v>0.5</v>
      </c>
      <c r="I69" s="35" t="s">
        <v>131</v>
      </c>
      <c r="J69" s="40" t="s">
        <v>9</v>
      </c>
      <c r="K69" s="40" t="s">
        <v>104</v>
      </c>
    </row>
    <row r="70" spans="1:11" ht="15.5">
      <c r="A70" s="41" t="s">
        <v>120</v>
      </c>
      <c r="B70" s="42">
        <v>1069</v>
      </c>
      <c r="C70" s="40">
        <v>1109</v>
      </c>
      <c r="D70" s="40" t="s">
        <v>108</v>
      </c>
      <c r="E70" s="38">
        <v>3</v>
      </c>
      <c r="F70" s="38">
        <v>8</v>
      </c>
      <c r="G70" s="38">
        <f>F70-E70</f>
        <v>5</v>
      </c>
      <c r="H70" s="34">
        <f>IF(F70&gt;50,0.2*G70,0.1*G70)</f>
        <v>0.5</v>
      </c>
      <c r="I70" s="35" t="s">
        <v>132</v>
      </c>
      <c r="J70" s="40" t="s">
        <v>10</v>
      </c>
      <c r="K70" s="40" t="s">
        <v>106</v>
      </c>
    </row>
    <row r="71" spans="1:11" ht="15.5">
      <c r="A71" s="41" t="s">
        <v>120</v>
      </c>
      <c r="B71" s="42">
        <v>1070</v>
      </c>
      <c r="C71" s="40">
        <v>2499</v>
      </c>
      <c r="D71" s="40" t="s">
        <v>105</v>
      </c>
      <c r="E71" s="38">
        <v>6.2</v>
      </c>
      <c r="F71" s="38">
        <v>9.1999999999999993</v>
      </c>
      <c r="G71" s="38">
        <f>F71-E71</f>
        <v>2.9999999999999991</v>
      </c>
      <c r="H71" s="34">
        <f>IF(F71&gt;50,0.2*G71,0.1*G71)</f>
        <v>0.29999999999999993</v>
      </c>
      <c r="I71" s="35" t="s">
        <v>133</v>
      </c>
      <c r="J71" s="40" t="s">
        <v>134</v>
      </c>
      <c r="K71" s="40" t="s">
        <v>106</v>
      </c>
    </row>
    <row r="72" spans="1:11" ht="15.5">
      <c r="A72" s="41" t="s">
        <v>120</v>
      </c>
      <c r="B72" s="42">
        <v>1071</v>
      </c>
      <c r="C72" s="40">
        <v>1109</v>
      </c>
      <c r="D72" s="40" t="s">
        <v>108</v>
      </c>
      <c r="E72" s="38">
        <v>3</v>
      </c>
      <c r="F72" s="38">
        <v>8</v>
      </c>
      <c r="G72" s="38">
        <f>F72-E72</f>
        <v>5</v>
      </c>
      <c r="H72" s="34">
        <f>IF(F72&gt;50,0.2*G72,0.1*G72)</f>
        <v>0.5</v>
      </c>
      <c r="I72" s="35" t="s">
        <v>129</v>
      </c>
      <c r="J72" s="40" t="s">
        <v>130</v>
      </c>
      <c r="K72" s="40" t="s">
        <v>106</v>
      </c>
    </row>
    <row r="73" spans="1:11" ht="15.5">
      <c r="A73" s="41" t="s">
        <v>120</v>
      </c>
      <c r="B73" s="42">
        <v>1072</v>
      </c>
      <c r="C73" s="40">
        <v>1109</v>
      </c>
      <c r="D73" s="40" t="s">
        <v>108</v>
      </c>
      <c r="E73" s="38">
        <v>3</v>
      </c>
      <c r="F73" s="38">
        <v>8</v>
      </c>
      <c r="G73" s="38">
        <f>F73-E73</f>
        <v>5</v>
      </c>
      <c r="H73" s="34">
        <f>IF(F73&gt;50,0.2*G73,0.1*G73)</f>
        <v>0.5</v>
      </c>
      <c r="I73" s="35" t="s">
        <v>132</v>
      </c>
      <c r="J73" s="40" t="s">
        <v>10</v>
      </c>
      <c r="K73" s="40" t="s">
        <v>114</v>
      </c>
    </row>
    <row r="74" spans="1:11" ht="15.5">
      <c r="A74" s="41" t="s">
        <v>120</v>
      </c>
      <c r="B74" s="42">
        <v>1073</v>
      </c>
      <c r="C74" s="40">
        <v>6622</v>
      </c>
      <c r="D74" s="40" t="s">
        <v>118</v>
      </c>
      <c r="E74" s="38">
        <v>42</v>
      </c>
      <c r="F74" s="38">
        <v>77</v>
      </c>
      <c r="G74" s="38">
        <f>F74-E74</f>
        <v>35</v>
      </c>
      <c r="H74" s="34">
        <f>IF(F74&gt;50,0.2*G74,0.1*G74)</f>
        <v>7</v>
      </c>
      <c r="I74" s="35" t="s">
        <v>132</v>
      </c>
      <c r="J74" s="40" t="s">
        <v>10</v>
      </c>
      <c r="K74" s="40" t="s">
        <v>104</v>
      </c>
    </row>
    <row r="75" spans="1:11" ht="15.5">
      <c r="A75" s="41" t="s">
        <v>120</v>
      </c>
      <c r="B75" s="42">
        <v>1074</v>
      </c>
      <c r="C75" s="40">
        <v>2877</v>
      </c>
      <c r="D75" s="40" t="s">
        <v>103</v>
      </c>
      <c r="E75" s="38">
        <v>11.4</v>
      </c>
      <c r="F75" s="38">
        <v>16.3</v>
      </c>
      <c r="G75" s="38">
        <f>F75-E75</f>
        <v>4.9000000000000004</v>
      </c>
      <c r="H75" s="34">
        <f>IF(F75&gt;50,0.2*G75,0.1*G75)</f>
        <v>0.49000000000000005</v>
      </c>
      <c r="I75" s="35" t="s">
        <v>132</v>
      </c>
      <c r="J75" s="40" t="s">
        <v>10</v>
      </c>
      <c r="K75" s="40" t="s">
        <v>106</v>
      </c>
    </row>
    <row r="76" spans="1:11" ht="15.5">
      <c r="A76" s="41" t="s">
        <v>120</v>
      </c>
      <c r="B76" s="42">
        <v>1075</v>
      </c>
      <c r="C76" s="40">
        <v>1109</v>
      </c>
      <c r="D76" s="40" t="s">
        <v>108</v>
      </c>
      <c r="E76" s="38">
        <v>3</v>
      </c>
      <c r="F76" s="38">
        <v>8</v>
      </c>
      <c r="G76" s="38">
        <f>F76-E76</f>
        <v>5</v>
      </c>
      <c r="H76" s="34">
        <f>IF(F76&gt;50,0.2*G76,0.1*G76)</f>
        <v>0.5</v>
      </c>
      <c r="I76" s="35" t="s">
        <v>133</v>
      </c>
      <c r="J76" s="40" t="s">
        <v>134</v>
      </c>
      <c r="K76" s="40" t="s">
        <v>104</v>
      </c>
    </row>
    <row r="77" spans="1:11" ht="15.5">
      <c r="A77" s="41" t="s">
        <v>120</v>
      </c>
      <c r="B77" s="42">
        <v>1076</v>
      </c>
      <c r="C77" s="40">
        <v>1109</v>
      </c>
      <c r="D77" s="40" t="s">
        <v>108</v>
      </c>
      <c r="E77" s="38">
        <v>3</v>
      </c>
      <c r="F77" s="38">
        <v>8</v>
      </c>
      <c r="G77" s="38">
        <f>F77-E77</f>
        <v>5</v>
      </c>
      <c r="H77" s="34">
        <f>IF(F77&gt;50,0.2*G77,0.1*G77)</f>
        <v>0.5</v>
      </c>
      <c r="I77" s="35" t="s">
        <v>131</v>
      </c>
      <c r="J77" s="40" t="s">
        <v>9</v>
      </c>
      <c r="K77" s="40" t="s">
        <v>106</v>
      </c>
    </row>
    <row r="78" spans="1:11" ht="15.5">
      <c r="A78" s="41" t="s">
        <v>120</v>
      </c>
      <c r="B78" s="42">
        <v>1077</v>
      </c>
      <c r="C78" s="40">
        <v>9822</v>
      </c>
      <c r="D78" s="40" t="s">
        <v>101</v>
      </c>
      <c r="E78" s="38">
        <v>58.3</v>
      </c>
      <c r="F78" s="38">
        <v>98.4</v>
      </c>
      <c r="G78" s="38">
        <f>F78-E78</f>
        <v>40.100000000000009</v>
      </c>
      <c r="H78" s="34">
        <f>IF(F78&gt;50,0.2*G78,0.1*G78)</f>
        <v>8.0200000000000014</v>
      </c>
      <c r="I78" s="35" t="s">
        <v>133</v>
      </c>
      <c r="J78" s="40" t="s">
        <v>134</v>
      </c>
      <c r="K78" s="40" t="s">
        <v>106</v>
      </c>
    </row>
    <row r="79" spans="1:11" ht="15.5">
      <c r="A79" s="41" t="s">
        <v>120</v>
      </c>
      <c r="B79" s="42">
        <v>1078</v>
      </c>
      <c r="C79" s="40">
        <v>2877</v>
      </c>
      <c r="D79" s="40" t="s">
        <v>103</v>
      </c>
      <c r="E79" s="38">
        <v>11.4</v>
      </c>
      <c r="F79" s="38">
        <v>16.3</v>
      </c>
      <c r="G79" s="38">
        <f>F79-E79</f>
        <v>4.9000000000000004</v>
      </c>
      <c r="H79" s="34">
        <f>IF(F79&gt;50,0.2*G79,0.1*G79)</f>
        <v>0.49000000000000005</v>
      </c>
      <c r="I79" s="35" t="s">
        <v>131</v>
      </c>
      <c r="J79" s="40" t="s">
        <v>9</v>
      </c>
      <c r="K79" s="40" t="s">
        <v>114</v>
      </c>
    </row>
    <row r="80" spans="1:11" ht="15.5">
      <c r="A80" s="41" t="s">
        <v>121</v>
      </c>
      <c r="B80" s="42">
        <v>1079</v>
      </c>
      <c r="C80" s="40">
        <v>2877</v>
      </c>
      <c r="D80" s="40" t="s">
        <v>103</v>
      </c>
      <c r="E80" s="38">
        <v>11.4</v>
      </c>
      <c r="F80" s="38">
        <v>16.3</v>
      </c>
      <c r="G80" s="38">
        <f>F80-E80</f>
        <v>4.9000000000000004</v>
      </c>
      <c r="H80" s="34">
        <f>IF(F80&gt;50,0.2*G80,0.1*G80)</f>
        <v>0.49000000000000005</v>
      </c>
      <c r="I80" s="35" t="s">
        <v>131</v>
      </c>
      <c r="J80" s="40" t="s">
        <v>9</v>
      </c>
      <c r="K80" s="40" t="s">
        <v>102</v>
      </c>
    </row>
    <row r="81" spans="1:11" ht="15.5">
      <c r="A81" s="41" t="s">
        <v>121</v>
      </c>
      <c r="B81" s="42">
        <v>1080</v>
      </c>
      <c r="C81" s="40">
        <v>4421</v>
      </c>
      <c r="D81" s="40" t="s">
        <v>110</v>
      </c>
      <c r="E81" s="38">
        <v>45</v>
      </c>
      <c r="F81" s="38">
        <v>87</v>
      </c>
      <c r="G81" s="38">
        <f>F81-E81</f>
        <v>42</v>
      </c>
      <c r="H81" s="34">
        <f>IF(F81&gt;50,0.2*G81,0.1*G81)</f>
        <v>8.4</v>
      </c>
      <c r="I81" s="35" t="s">
        <v>132</v>
      </c>
      <c r="J81" s="40" t="s">
        <v>10</v>
      </c>
      <c r="K81" s="40" t="s">
        <v>104</v>
      </c>
    </row>
    <row r="82" spans="1:11" ht="15.5">
      <c r="A82" s="41" t="s">
        <v>121</v>
      </c>
      <c r="B82" s="42">
        <v>1081</v>
      </c>
      <c r="C82" s="40">
        <v>6119</v>
      </c>
      <c r="D82" s="40" t="s">
        <v>116</v>
      </c>
      <c r="E82" s="38">
        <v>9</v>
      </c>
      <c r="F82" s="38">
        <v>14</v>
      </c>
      <c r="G82" s="38">
        <f>F82-E82</f>
        <v>5</v>
      </c>
      <c r="H82" s="34">
        <f>IF(F82&gt;50,0.2*G82,0.1*G82)</f>
        <v>0.5</v>
      </c>
      <c r="I82" s="35" t="s">
        <v>132</v>
      </c>
      <c r="J82" s="40" t="s">
        <v>10</v>
      </c>
      <c r="K82" s="40" t="s">
        <v>115</v>
      </c>
    </row>
    <row r="83" spans="1:11" ht="15.5">
      <c r="A83" s="41" t="s">
        <v>121</v>
      </c>
      <c r="B83" s="42">
        <v>1082</v>
      </c>
      <c r="C83" s="40">
        <v>1109</v>
      </c>
      <c r="D83" s="40" t="s">
        <v>108</v>
      </c>
      <c r="E83" s="38">
        <v>3</v>
      </c>
      <c r="F83" s="38">
        <v>8</v>
      </c>
      <c r="G83" s="38">
        <f>F83-E83</f>
        <v>5</v>
      </c>
      <c r="H83" s="34">
        <f>IF(F83&gt;50,0.2*G83,0.1*G83)</f>
        <v>0.5</v>
      </c>
      <c r="I83" s="35" t="s">
        <v>129</v>
      </c>
      <c r="J83" s="40" t="s">
        <v>130</v>
      </c>
      <c r="K83" s="40" t="s">
        <v>104</v>
      </c>
    </row>
    <row r="84" spans="1:11" ht="15.5">
      <c r="A84" s="41" t="s">
        <v>121</v>
      </c>
      <c r="B84" s="42">
        <v>1083</v>
      </c>
      <c r="C84" s="40">
        <v>1109</v>
      </c>
      <c r="D84" s="40" t="s">
        <v>108</v>
      </c>
      <c r="E84" s="38">
        <v>3</v>
      </c>
      <c r="F84" s="38">
        <v>8</v>
      </c>
      <c r="G84" s="38">
        <f>F84-E84</f>
        <v>5</v>
      </c>
      <c r="H84" s="34">
        <f>IF(F84&gt;50,0.2*G84,0.1*G84)</f>
        <v>0.5</v>
      </c>
      <c r="I84" s="35" t="s">
        <v>129</v>
      </c>
      <c r="J84" s="40" t="s">
        <v>130</v>
      </c>
      <c r="K84" s="40" t="s">
        <v>114</v>
      </c>
    </row>
    <row r="85" spans="1:11" ht="15.5">
      <c r="A85" s="41" t="s">
        <v>121</v>
      </c>
      <c r="B85" s="42">
        <v>1084</v>
      </c>
      <c r="C85" s="40">
        <v>6119</v>
      </c>
      <c r="D85" s="40" t="s">
        <v>116</v>
      </c>
      <c r="E85" s="38">
        <v>9</v>
      </c>
      <c r="F85" s="38">
        <v>14</v>
      </c>
      <c r="G85" s="38">
        <f>F85-E85</f>
        <v>5</v>
      </c>
      <c r="H85" s="34">
        <f>IF(F85&gt;50,0.2*G85,0.1*G85)</f>
        <v>0.5</v>
      </c>
      <c r="I85" s="35" t="s">
        <v>129</v>
      </c>
      <c r="J85" s="40" t="s">
        <v>130</v>
      </c>
      <c r="K85" s="40" t="s">
        <v>106</v>
      </c>
    </row>
    <row r="86" spans="1:11" ht="15.5">
      <c r="A86" s="41" t="s">
        <v>121</v>
      </c>
      <c r="B86" s="42">
        <v>1085</v>
      </c>
      <c r="C86" s="40">
        <v>9822</v>
      </c>
      <c r="D86" s="40" t="s">
        <v>101</v>
      </c>
      <c r="E86" s="38">
        <v>58.3</v>
      </c>
      <c r="F86" s="38">
        <v>98.4</v>
      </c>
      <c r="G86" s="38">
        <f>F86-E86</f>
        <v>40.100000000000009</v>
      </c>
      <c r="H86" s="34">
        <f>IF(F86&gt;50,0.2*G86,0.1*G86)</f>
        <v>8.0200000000000014</v>
      </c>
      <c r="I86" s="35" t="s">
        <v>132</v>
      </c>
      <c r="J86" s="40" t="s">
        <v>10</v>
      </c>
      <c r="K86" s="40" t="s">
        <v>114</v>
      </c>
    </row>
    <row r="87" spans="1:11" ht="15.5">
      <c r="A87" s="41" t="s">
        <v>121</v>
      </c>
      <c r="B87" s="42">
        <v>1086</v>
      </c>
      <c r="C87" s="40">
        <v>1109</v>
      </c>
      <c r="D87" s="40" t="s">
        <v>108</v>
      </c>
      <c r="E87" s="38">
        <v>3</v>
      </c>
      <c r="F87" s="38">
        <v>8</v>
      </c>
      <c r="G87" s="38">
        <f>F87-E87</f>
        <v>5</v>
      </c>
      <c r="H87" s="34">
        <f>IF(F87&gt;50,0.2*G87,0.1*G87)</f>
        <v>0.5</v>
      </c>
      <c r="I87" s="35" t="s">
        <v>133</v>
      </c>
      <c r="J87" s="40" t="s">
        <v>134</v>
      </c>
      <c r="K87" s="40" t="s">
        <v>106</v>
      </c>
    </row>
    <row r="88" spans="1:11" ht="15.5">
      <c r="A88" s="41" t="s">
        <v>121</v>
      </c>
      <c r="B88" s="42">
        <v>1087</v>
      </c>
      <c r="C88" s="40">
        <v>2499</v>
      </c>
      <c r="D88" s="40" t="s">
        <v>105</v>
      </c>
      <c r="E88" s="38">
        <v>6.2</v>
      </c>
      <c r="F88" s="38">
        <v>9.1999999999999993</v>
      </c>
      <c r="G88" s="38">
        <f>F88-E88</f>
        <v>2.9999999999999991</v>
      </c>
      <c r="H88" s="34">
        <f>IF(F88&gt;50,0.2*G88,0.1*G88)</f>
        <v>0.29999999999999993</v>
      </c>
      <c r="I88" s="35" t="s">
        <v>129</v>
      </c>
      <c r="J88" s="40" t="s">
        <v>130</v>
      </c>
      <c r="K88" s="40" t="s">
        <v>104</v>
      </c>
    </row>
    <row r="89" spans="1:11" ht="15.5">
      <c r="A89" s="41" t="s">
        <v>121</v>
      </c>
      <c r="B89" s="42">
        <v>1088</v>
      </c>
      <c r="C89" s="40">
        <v>2499</v>
      </c>
      <c r="D89" s="40" t="s">
        <v>105</v>
      </c>
      <c r="E89" s="38">
        <v>6.2</v>
      </c>
      <c r="F89" s="38">
        <v>9.1999999999999993</v>
      </c>
      <c r="G89" s="38">
        <f>F89-E89</f>
        <v>2.9999999999999991</v>
      </c>
      <c r="H89" s="34">
        <f>IF(F89&gt;50,0.2*G89,0.1*G89)</f>
        <v>0.29999999999999993</v>
      </c>
      <c r="I89" s="35" t="s">
        <v>129</v>
      </c>
      <c r="J89" s="40" t="s">
        <v>130</v>
      </c>
      <c r="K89" s="40" t="s">
        <v>102</v>
      </c>
    </row>
    <row r="90" spans="1:11" ht="15.5">
      <c r="A90" s="41" t="s">
        <v>121</v>
      </c>
      <c r="B90" s="42">
        <v>1089</v>
      </c>
      <c r="C90" s="40">
        <v>6119</v>
      </c>
      <c r="D90" s="40" t="s">
        <v>116</v>
      </c>
      <c r="E90" s="38">
        <v>9</v>
      </c>
      <c r="F90" s="38">
        <v>14</v>
      </c>
      <c r="G90" s="38">
        <f>F90-E90</f>
        <v>5</v>
      </c>
      <c r="H90" s="34">
        <f>IF(F90&gt;50,0.2*G90,0.1*G90)</f>
        <v>0.5</v>
      </c>
      <c r="I90" s="35" t="s">
        <v>132</v>
      </c>
      <c r="J90" s="40" t="s">
        <v>10</v>
      </c>
      <c r="K90" s="40" t="s">
        <v>114</v>
      </c>
    </row>
    <row r="91" spans="1:11" ht="15.5">
      <c r="A91" s="41" t="s">
        <v>121</v>
      </c>
      <c r="B91" s="42">
        <v>1090</v>
      </c>
      <c r="C91" s="40">
        <v>2877</v>
      </c>
      <c r="D91" s="40" t="s">
        <v>103</v>
      </c>
      <c r="E91" s="38">
        <v>11.4</v>
      </c>
      <c r="F91" s="38">
        <v>16.3</v>
      </c>
      <c r="G91" s="38">
        <f>F91-E91</f>
        <v>4.9000000000000004</v>
      </c>
      <c r="H91" s="34">
        <f>IF(F91&gt;50,0.2*G91,0.1*G91)</f>
        <v>0.49000000000000005</v>
      </c>
      <c r="I91" s="35" t="s">
        <v>129</v>
      </c>
      <c r="J91" s="40" t="s">
        <v>130</v>
      </c>
      <c r="K91" s="40" t="s">
        <v>104</v>
      </c>
    </row>
    <row r="92" spans="1:11" ht="15.5">
      <c r="A92" s="41" t="s">
        <v>121</v>
      </c>
      <c r="B92" s="42">
        <v>1091</v>
      </c>
      <c r="C92" s="40">
        <v>2877</v>
      </c>
      <c r="D92" s="40" t="s">
        <v>103</v>
      </c>
      <c r="E92" s="38">
        <v>11.4</v>
      </c>
      <c r="F92" s="38">
        <v>16.3</v>
      </c>
      <c r="G92" s="38">
        <f>F92-E92</f>
        <v>4.9000000000000004</v>
      </c>
      <c r="H92" s="34">
        <f>IF(F92&gt;50,0.2*G92,0.1*G92)</f>
        <v>0.49000000000000005</v>
      </c>
      <c r="I92" s="35" t="s">
        <v>133</v>
      </c>
      <c r="J92" s="40" t="s">
        <v>134</v>
      </c>
      <c r="K92" s="40" t="s">
        <v>114</v>
      </c>
    </row>
    <row r="93" spans="1:11" ht="15.5">
      <c r="A93" s="41" t="s">
        <v>121</v>
      </c>
      <c r="B93" s="42">
        <v>1092</v>
      </c>
      <c r="C93" s="40">
        <v>2877</v>
      </c>
      <c r="D93" s="40" t="s">
        <v>103</v>
      </c>
      <c r="E93" s="38">
        <v>11.4</v>
      </c>
      <c r="F93" s="38">
        <v>16.3</v>
      </c>
      <c r="G93" s="38">
        <f>F93-E93</f>
        <v>4.9000000000000004</v>
      </c>
      <c r="H93" s="34">
        <f>IF(F93&gt;50,0.2*G93,0.1*G93)</f>
        <v>0.49000000000000005</v>
      </c>
      <c r="I93" s="35" t="s">
        <v>132</v>
      </c>
      <c r="J93" s="40" t="s">
        <v>10</v>
      </c>
      <c r="K93" s="40" t="s">
        <v>104</v>
      </c>
    </row>
    <row r="94" spans="1:11" ht="15.5">
      <c r="A94" s="41" t="s">
        <v>121</v>
      </c>
      <c r="B94" s="42">
        <v>1093</v>
      </c>
      <c r="C94" s="40">
        <v>6119</v>
      </c>
      <c r="D94" s="40" t="s">
        <v>116</v>
      </c>
      <c r="E94" s="38">
        <v>9</v>
      </c>
      <c r="F94" s="38">
        <v>14</v>
      </c>
      <c r="G94" s="38">
        <f>F94-E94</f>
        <v>5</v>
      </c>
      <c r="H94" s="34">
        <f>IF(F94&gt;50,0.2*G94,0.1*G94)</f>
        <v>0.5</v>
      </c>
      <c r="I94" s="35" t="s">
        <v>131</v>
      </c>
      <c r="J94" s="40" t="s">
        <v>9</v>
      </c>
      <c r="K94" s="40" t="s">
        <v>106</v>
      </c>
    </row>
    <row r="95" spans="1:11" ht="15.5">
      <c r="A95" s="41" t="s">
        <v>121</v>
      </c>
      <c r="B95" s="42">
        <v>1094</v>
      </c>
      <c r="C95" s="40">
        <v>6119</v>
      </c>
      <c r="D95" s="40" t="s">
        <v>116</v>
      </c>
      <c r="E95" s="38">
        <v>9</v>
      </c>
      <c r="F95" s="38">
        <v>14</v>
      </c>
      <c r="G95" s="38">
        <f>F95-E95</f>
        <v>5</v>
      </c>
      <c r="H95" s="34">
        <f>IF(F95&gt;50,0.2*G95,0.1*G95)</f>
        <v>0.5</v>
      </c>
      <c r="I95" s="35" t="s">
        <v>132</v>
      </c>
      <c r="J95" s="40" t="s">
        <v>10</v>
      </c>
      <c r="K95" s="40" t="s">
        <v>104</v>
      </c>
    </row>
    <row r="96" spans="1:11" ht="15.5">
      <c r="A96" s="41" t="s">
        <v>121</v>
      </c>
      <c r="B96" s="42">
        <v>1095</v>
      </c>
      <c r="C96" s="40">
        <v>2499</v>
      </c>
      <c r="D96" s="40" t="s">
        <v>105</v>
      </c>
      <c r="E96" s="38">
        <v>6.2</v>
      </c>
      <c r="F96" s="38">
        <v>9.1999999999999993</v>
      </c>
      <c r="G96" s="38">
        <f>F96-E96</f>
        <v>2.9999999999999991</v>
      </c>
      <c r="H96" s="34">
        <f>IF(F96&gt;50,0.2*G96,0.1*G96)</f>
        <v>0.29999999999999993</v>
      </c>
      <c r="I96" s="35" t="s">
        <v>133</v>
      </c>
      <c r="J96" s="40" t="s">
        <v>134</v>
      </c>
      <c r="K96" s="40" t="s">
        <v>106</v>
      </c>
    </row>
    <row r="97" spans="1:11" ht="15.5">
      <c r="A97" s="41" t="s">
        <v>121</v>
      </c>
      <c r="B97" s="42">
        <v>1096</v>
      </c>
      <c r="C97" s="40">
        <v>6119</v>
      </c>
      <c r="D97" s="40" t="s">
        <v>116</v>
      </c>
      <c r="E97" s="38">
        <v>9</v>
      </c>
      <c r="F97" s="38">
        <v>14</v>
      </c>
      <c r="G97" s="38">
        <f>F97-E97</f>
        <v>5</v>
      </c>
      <c r="H97" s="34">
        <f>IF(F97&gt;50,0.2*G97,0.1*G97)</f>
        <v>0.5</v>
      </c>
      <c r="I97" s="35" t="s">
        <v>132</v>
      </c>
      <c r="J97" s="40" t="s">
        <v>10</v>
      </c>
      <c r="K97" s="40" t="s">
        <v>106</v>
      </c>
    </row>
    <row r="98" spans="1:11" ht="15.5">
      <c r="A98" s="41" t="s">
        <v>121</v>
      </c>
      <c r="B98" s="42">
        <v>1097</v>
      </c>
      <c r="C98" s="40">
        <v>9212</v>
      </c>
      <c r="D98" s="40" t="s">
        <v>111</v>
      </c>
      <c r="E98" s="38">
        <v>4</v>
      </c>
      <c r="F98" s="38">
        <v>7</v>
      </c>
      <c r="G98" s="38">
        <f>F98-E98</f>
        <v>3</v>
      </c>
      <c r="H98" s="34">
        <f>IF(F98&gt;50,0.2*G98,0.1*G98)</f>
        <v>0.30000000000000004</v>
      </c>
      <c r="I98" s="35" t="s">
        <v>133</v>
      </c>
      <c r="J98" s="40" t="s">
        <v>134</v>
      </c>
      <c r="K98" s="40" t="s">
        <v>114</v>
      </c>
    </row>
    <row r="99" spans="1:11" ht="15.5">
      <c r="A99" s="41" t="s">
        <v>121</v>
      </c>
      <c r="B99" s="42">
        <v>1098</v>
      </c>
      <c r="C99" s="40">
        <v>2877</v>
      </c>
      <c r="D99" s="40" t="s">
        <v>103</v>
      </c>
      <c r="E99" s="38">
        <v>11.4</v>
      </c>
      <c r="F99" s="38">
        <v>16.3</v>
      </c>
      <c r="G99" s="38">
        <f>F99-E99</f>
        <v>4.9000000000000004</v>
      </c>
      <c r="H99" s="34">
        <f>IF(F99&gt;50,0.2*G99,0.1*G99)</f>
        <v>0.49000000000000005</v>
      </c>
      <c r="I99" s="35" t="s">
        <v>131</v>
      </c>
      <c r="J99" s="40" t="s">
        <v>9</v>
      </c>
      <c r="K99" s="40" t="s">
        <v>102</v>
      </c>
    </row>
    <row r="100" spans="1:11" ht="15.5">
      <c r="A100" s="41" t="s">
        <v>122</v>
      </c>
      <c r="B100" s="42">
        <v>1099</v>
      </c>
      <c r="C100" s="40">
        <v>2877</v>
      </c>
      <c r="D100" s="40" t="s">
        <v>103</v>
      </c>
      <c r="E100" s="38">
        <v>11.4</v>
      </c>
      <c r="F100" s="38">
        <v>16.3</v>
      </c>
      <c r="G100" s="38">
        <f>F100-E100</f>
        <v>4.9000000000000004</v>
      </c>
      <c r="H100" s="34">
        <f>IF(F100&gt;50,0.2*G100,0.1*G100)</f>
        <v>0.49000000000000005</v>
      </c>
      <c r="I100" s="35" t="s">
        <v>132</v>
      </c>
      <c r="J100" s="40" t="s">
        <v>10</v>
      </c>
      <c r="K100" s="40" t="s">
        <v>104</v>
      </c>
    </row>
    <row r="101" spans="1:11" ht="15.5">
      <c r="A101" s="41" t="s">
        <v>122</v>
      </c>
      <c r="B101" s="42">
        <v>1100</v>
      </c>
      <c r="C101" s="40">
        <v>6119</v>
      </c>
      <c r="D101" s="40" t="s">
        <v>116</v>
      </c>
      <c r="E101" s="38">
        <v>9</v>
      </c>
      <c r="F101" s="38">
        <v>14</v>
      </c>
      <c r="G101" s="38">
        <f>F101-E101</f>
        <v>5</v>
      </c>
      <c r="H101" s="34">
        <f>IF(F101&gt;50,0.2*G101,0.1*G101)</f>
        <v>0.5</v>
      </c>
      <c r="I101" s="35" t="s">
        <v>129</v>
      </c>
      <c r="J101" s="40" t="s">
        <v>130</v>
      </c>
      <c r="K101" s="40" t="s">
        <v>115</v>
      </c>
    </row>
    <row r="102" spans="1:11" ht="15.5">
      <c r="A102" s="41" t="s">
        <v>122</v>
      </c>
      <c r="B102" s="42">
        <v>1101</v>
      </c>
      <c r="C102" s="40">
        <v>2499</v>
      </c>
      <c r="D102" s="40" t="s">
        <v>105</v>
      </c>
      <c r="E102" s="38">
        <v>6.2</v>
      </c>
      <c r="F102" s="38">
        <v>9.1999999999999993</v>
      </c>
      <c r="G102" s="38">
        <f>F102-E102</f>
        <v>2.9999999999999991</v>
      </c>
      <c r="H102" s="34">
        <f>IF(F102&gt;50,0.2*G102,0.1*G102)</f>
        <v>0.29999999999999993</v>
      </c>
      <c r="I102" s="35" t="s">
        <v>132</v>
      </c>
      <c r="J102" s="40" t="s">
        <v>10</v>
      </c>
      <c r="K102" s="40" t="s">
        <v>104</v>
      </c>
    </row>
    <row r="103" spans="1:11" ht="15.5">
      <c r="A103" s="41" t="s">
        <v>122</v>
      </c>
      <c r="B103" s="42">
        <v>1102</v>
      </c>
      <c r="C103" s="40">
        <v>2242</v>
      </c>
      <c r="D103" s="40" t="s">
        <v>113</v>
      </c>
      <c r="E103" s="38">
        <v>60</v>
      </c>
      <c r="F103" s="38">
        <v>124</v>
      </c>
      <c r="G103" s="38">
        <f>F103-E103</f>
        <v>64</v>
      </c>
      <c r="H103" s="34">
        <f>IF(F103&gt;50,0.2*G103,0.1*G103)</f>
        <v>12.8</v>
      </c>
      <c r="I103" s="35" t="s">
        <v>131</v>
      </c>
      <c r="J103" s="40" t="s">
        <v>9</v>
      </c>
      <c r="K103" s="40" t="s">
        <v>114</v>
      </c>
    </row>
    <row r="104" spans="1:11" ht="15.5">
      <c r="A104" s="41" t="s">
        <v>122</v>
      </c>
      <c r="B104" s="42">
        <v>1103</v>
      </c>
      <c r="C104" s="40">
        <v>2877</v>
      </c>
      <c r="D104" s="40" t="s">
        <v>103</v>
      </c>
      <c r="E104" s="38">
        <v>11.4</v>
      </c>
      <c r="F104" s="38">
        <v>16.3</v>
      </c>
      <c r="G104" s="38">
        <f>F104-E104</f>
        <v>4.9000000000000004</v>
      </c>
      <c r="H104" s="34">
        <f>IF(F104&gt;50,0.2*G104,0.1*G104)</f>
        <v>0.49000000000000005</v>
      </c>
      <c r="I104" s="35" t="s">
        <v>131</v>
      </c>
      <c r="J104" s="40" t="s">
        <v>9</v>
      </c>
      <c r="K104" s="40" t="s">
        <v>106</v>
      </c>
    </row>
    <row r="105" spans="1:11" ht="15.5">
      <c r="A105" s="41" t="s">
        <v>122</v>
      </c>
      <c r="B105" s="42">
        <v>1104</v>
      </c>
      <c r="C105" s="40">
        <v>2877</v>
      </c>
      <c r="D105" s="40" t="s">
        <v>103</v>
      </c>
      <c r="E105" s="38">
        <v>11.4</v>
      </c>
      <c r="F105" s="38">
        <v>16.3</v>
      </c>
      <c r="G105" s="38">
        <f>F105-E105</f>
        <v>4.9000000000000004</v>
      </c>
      <c r="H105" s="34">
        <f>IF(F105&gt;50,0.2*G105,0.1*G105)</f>
        <v>0.49000000000000005</v>
      </c>
      <c r="I105" s="35" t="s">
        <v>132</v>
      </c>
      <c r="J105" s="40" t="s">
        <v>10</v>
      </c>
      <c r="K105" s="40" t="s">
        <v>114</v>
      </c>
    </row>
    <row r="106" spans="1:11" ht="15.5">
      <c r="A106" s="41" t="s">
        <v>122</v>
      </c>
      <c r="B106" s="42">
        <v>1105</v>
      </c>
      <c r="C106" s="40">
        <v>2499</v>
      </c>
      <c r="D106" s="40" t="s">
        <v>105</v>
      </c>
      <c r="E106" s="38">
        <v>6.2</v>
      </c>
      <c r="F106" s="38">
        <v>9.1999999999999993</v>
      </c>
      <c r="G106" s="38">
        <f>F106-E106</f>
        <v>2.9999999999999991</v>
      </c>
      <c r="H106" s="34">
        <f>IF(F106&gt;50,0.2*G106,0.1*G106)</f>
        <v>0.29999999999999993</v>
      </c>
      <c r="I106" s="35" t="s">
        <v>131</v>
      </c>
      <c r="J106" s="40" t="s">
        <v>9</v>
      </c>
      <c r="K106" s="40" t="s">
        <v>106</v>
      </c>
    </row>
    <row r="107" spans="1:11" ht="15.5">
      <c r="A107" s="41" t="s">
        <v>122</v>
      </c>
      <c r="B107" s="42">
        <v>1106</v>
      </c>
      <c r="C107" s="40">
        <v>9822</v>
      </c>
      <c r="D107" s="40" t="s">
        <v>101</v>
      </c>
      <c r="E107" s="38">
        <v>58.3</v>
      </c>
      <c r="F107" s="38">
        <v>98.4</v>
      </c>
      <c r="G107" s="38">
        <f>F107-E107</f>
        <v>40.100000000000009</v>
      </c>
      <c r="H107" s="34">
        <f>IF(F107&gt;50,0.2*G107,0.1*G107)</f>
        <v>8.0200000000000014</v>
      </c>
      <c r="I107" s="35" t="s">
        <v>131</v>
      </c>
      <c r="J107" s="40" t="s">
        <v>9</v>
      </c>
      <c r="K107" s="40" t="s">
        <v>104</v>
      </c>
    </row>
    <row r="108" spans="1:11" ht="15.5">
      <c r="A108" s="41" t="s">
        <v>122</v>
      </c>
      <c r="B108" s="42">
        <v>1107</v>
      </c>
      <c r="C108" s="40">
        <v>1109</v>
      </c>
      <c r="D108" s="40" t="s">
        <v>108</v>
      </c>
      <c r="E108" s="38">
        <v>3</v>
      </c>
      <c r="F108" s="38">
        <v>8</v>
      </c>
      <c r="G108" s="38">
        <f>F108-E108</f>
        <v>5</v>
      </c>
      <c r="H108" s="34">
        <f>IF(F108&gt;50,0.2*G108,0.1*G108)</f>
        <v>0.5</v>
      </c>
      <c r="I108" s="35" t="s">
        <v>133</v>
      </c>
      <c r="J108" s="40" t="s">
        <v>134</v>
      </c>
      <c r="K108" s="40" t="s">
        <v>102</v>
      </c>
    </row>
    <row r="109" spans="1:11" ht="15.5">
      <c r="A109" s="41" t="s">
        <v>122</v>
      </c>
      <c r="B109" s="42">
        <v>1108</v>
      </c>
      <c r="C109" s="40">
        <v>9822</v>
      </c>
      <c r="D109" s="40" t="s">
        <v>101</v>
      </c>
      <c r="E109" s="38">
        <v>58.3</v>
      </c>
      <c r="F109" s="38">
        <v>98.4</v>
      </c>
      <c r="G109" s="38">
        <f>F109-E109</f>
        <v>40.100000000000009</v>
      </c>
      <c r="H109" s="34">
        <f>IF(F109&gt;50,0.2*G109,0.1*G109)</f>
        <v>8.0200000000000014</v>
      </c>
      <c r="I109" s="35" t="s">
        <v>132</v>
      </c>
      <c r="J109" s="40" t="s">
        <v>10</v>
      </c>
      <c r="K109" s="40" t="s">
        <v>114</v>
      </c>
    </row>
    <row r="110" spans="1:11" ht="15.5">
      <c r="A110" s="41" t="s">
        <v>122</v>
      </c>
      <c r="B110" s="42">
        <v>1109</v>
      </c>
      <c r="C110" s="40">
        <v>8722</v>
      </c>
      <c r="D110" s="40" t="s">
        <v>107</v>
      </c>
      <c r="E110" s="38">
        <v>344</v>
      </c>
      <c r="F110" s="38">
        <v>502</v>
      </c>
      <c r="G110" s="38">
        <f>F110-E110</f>
        <v>158</v>
      </c>
      <c r="H110" s="34">
        <f>IF(F110&gt;50,0.2*G110,0.1*G110)</f>
        <v>31.6</v>
      </c>
      <c r="I110" s="35" t="s">
        <v>131</v>
      </c>
      <c r="J110" s="40" t="s">
        <v>9</v>
      </c>
      <c r="K110" s="40" t="s">
        <v>104</v>
      </c>
    </row>
    <row r="111" spans="1:11" ht="15.5">
      <c r="A111" s="41" t="s">
        <v>122</v>
      </c>
      <c r="B111" s="42">
        <v>1110</v>
      </c>
      <c r="C111" s="40">
        <v>8722</v>
      </c>
      <c r="D111" s="40" t="s">
        <v>107</v>
      </c>
      <c r="E111" s="38">
        <v>344</v>
      </c>
      <c r="F111" s="38">
        <v>502</v>
      </c>
      <c r="G111" s="38">
        <f>F111-E111</f>
        <v>158</v>
      </c>
      <c r="H111" s="34">
        <f>IF(F111&gt;50,0.2*G111,0.1*G111)</f>
        <v>31.6</v>
      </c>
      <c r="I111" s="35" t="s">
        <v>133</v>
      </c>
      <c r="J111" s="40" t="s">
        <v>134</v>
      </c>
      <c r="K111" s="40" t="s">
        <v>114</v>
      </c>
    </row>
    <row r="112" spans="1:11" ht="15.5">
      <c r="A112" s="41" t="s">
        <v>122</v>
      </c>
      <c r="B112" s="42">
        <v>1111</v>
      </c>
      <c r="C112" s="40">
        <v>6622</v>
      </c>
      <c r="D112" s="40" t="s">
        <v>118</v>
      </c>
      <c r="E112" s="38">
        <v>42</v>
      </c>
      <c r="F112" s="38">
        <v>77</v>
      </c>
      <c r="G112" s="38">
        <f>F112-E112</f>
        <v>35</v>
      </c>
      <c r="H112" s="34">
        <f>IF(F112&gt;50,0.2*G112,0.1*G112)</f>
        <v>7</v>
      </c>
      <c r="I112" s="35" t="s">
        <v>133</v>
      </c>
      <c r="J112" s="40" t="s">
        <v>134</v>
      </c>
      <c r="K112" s="40" t="s">
        <v>104</v>
      </c>
    </row>
    <row r="113" spans="1:11" ht="15.5">
      <c r="A113" s="41" t="s">
        <v>122</v>
      </c>
      <c r="B113" s="42">
        <v>1112</v>
      </c>
      <c r="C113" s="40">
        <v>6622</v>
      </c>
      <c r="D113" s="40" t="s">
        <v>118</v>
      </c>
      <c r="E113" s="38">
        <v>42</v>
      </c>
      <c r="F113" s="38">
        <v>77</v>
      </c>
      <c r="G113" s="38">
        <f>F113-E113</f>
        <v>35</v>
      </c>
      <c r="H113" s="34">
        <f>IF(F113&gt;50,0.2*G113,0.1*G113)</f>
        <v>7</v>
      </c>
      <c r="I113" s="35" t="s">
        <v>132</v>
      </c>
      <c r="J113" s="40" t="s">
        <v>10</v>
      </c>
      <c r="K113" s="40" t="s">
        <v>106</v>
      </c>
    </row>
    <row r="114" spans="1:11" ht="15.5">
      <c r="A114" s="41" t="s">
        <v>122</v>
      </c>
      <c r="B114" s="42">
        <v>1113</v>
      </c>
      <c r="C114" s="40">
        <v>9822</v>
      </c>
      <c r="D114" s="40" t="s">
        <v>101</v>
      </c>
      <c r="E114" s="38">
        <v>58.3</v>
      </c>
      <c r="F114" s="38">
        <v>98.4</v>
      </c>
      <c r="G114" s="38">
        <f>F114-E114</f>
        <v>40.100000000000009</v>
      </c>
      <c r="H114" s="34">
        <f>IF(F114&gt;50,0.2*G114,0.1*G114)</f>
        <v>8.0200000000000014</v>
      </c>
      <c r="I114" s="35" t="s">
        <v>129</v>
      </c>
      <c r="J114" s="40" t="s">
        <v>130</v>
      </c>
      <c r="K114" s="40" t="s">
        <v>104</v>
      </c>
    </row>
    <row r="115" spans="1:11" ht="15.5">
      <c r="A115" s="41" t="s">
        <v>122</v>
      </c>
      <c r="B115" s="42">
        <v>1114</v>
      </c>
      <c r="C115" s="40">
        <v>2242</v>
      </c>
      <c r="D115" s="40" t="s">
        <v>113</v>
      </c>
      <c r="E115" s="38">
        <v>60</v>
      </c>
      <c r="F115" s="38">
        <v>124</v>
      </c>
      <c r="G115" s="38">
        <f>F115-E115</f>
        <v>64</v>
      </c>
      <c r="H115" s="34">
        <f>IF(F115&gt;50,0.2*G115,0.1*G115)</f>
        <v>12.8</v>
      </c>
      <c r="I115" s="35" t="s">
        <v>131</v>
      </c>
      <c r="J115" s="40" t="s">
        <v>9</v>
      </c>
      <c r="K115" s="40" t="s">
        <v>106</v>
      </c>
    </row>
    <row r="116" spans="1:11" ht="15.5">
      <c r="A116" s="41" t="s">
        <v>122</v>
      </c>
      <c r="B116" s="42">
        <v>1115</v>
      </c>
      <c r="C116" s="40">
        <v>8722</v>
      </c>
      <c r="D116" s="40" t="s">
        <v>107</v>
      </c>
      <c r="E116" s="38">
        <v>344</v>
      </c>
      <c r="F116" s="38">
        <v>502</v>
      </c>
      <c r="G116" s="38">
        <f>F116-E116</f>
        <v>158</v>
      </c>
      <c r="H116" s="34">
        <f>IF(F116&gt;50,0.2*G116,0.1*G116)</f>
        <v>31.6</v>
      </c>
      <c r="I116" s="35" t="s">
        <v>129</v>
      </c>
      <c r="J116" s="40" t="s">
        <v>130</v>
      </c>
      <c r="K116" s="40" t="s">
        <v>106</v>
      </c>
    </row>
    <row r="117" spans="1:11" ht="15.5">
      <c r="A117" s="41" t="s">
        <v>122</v>
      </c>
      <c r="B117" s="42">
        <v>1116</v>
      </c>
      <c r="C117" s="40">
        <v>6622</v>
      </c>
      <c r="D117" s="40" t="s">
        <v>118</v>
      </c>
      <c r="E117" s="38">
        <v>42</v>
      </c>
      <c r="F117" s="38">
        <v>77</v>
      </c>
      <c r="G117" s="38">
        <f>F117-E117</f>
        <v>35</v>
      </c>
      <c r="H117" s="34">
        <f>IF(F117&gt;50,0.2*G117,0.1*G117)</f>
        <v>7</v>
      </c>
      <c r="I117" s="35" t="s">
        <v>132</v>
      </c>
      <c r="J117" s="40" t="s">
        <v>10</v>
      </c>
      <c r="K117" s="40" t="s">
        <v>114</v>
      </c>
    </row>
    <row r="118" spans="1:11" ht="15.5">
      <c r="A118" s="41" t="s">
        <v>122</v>
      </c>
      <c r="B118" s="42">
        <v>1117</v>
      </c>
      <c r="C118" s="40">
        <v>8722</v>
      </c>
      <c r="D118" s="40" t="s">
        <v>107</v>
      </c>
      <c r="E118" s="38">
        <v>344</v>
      </c>
      <c r="F118" s="38">
        <v>502</v>
      </c>
      <c r="G118" s="38">
        <f>F118-E118</f>
        <v>158</v>
      </c>
      <c r="H118" s="34">
        <f>IF(F118&gt;50,0.2*G118,0.1*G118)</f>
        <v>31.6</v>
      </c>
      <c r="I118" s="35" t="s">
        <v>133</v>
      </c>
      <c r="J118" s="40" t="s">
        <v>134</v>
      </c>
      <c r="K118" s="40" t="s">
        <v>102</v>
      </c>
    </row>
    <row r="119" spans="1:11" ht="15.5">
      <c r="A119" s="41" t="s">
        <v>122</v>
      </c>
      <c r="B119" s="42">
        <v>1118</v>
      </c>
      <c r="C119" s="40">
        <v>9822</v>
      </c>
      <c r="D119" s="40" t="s">
        <v>101</v>
      </c>
      <c r="E119" s="38">
        <v>58.3</v>
      </c>
      <c r="F119" s="38">
        <v>98.4</v>
      </c>
      <c r="G119" s="38">
        <f>F119-E119</f>
        <v>40.100000000000009</v>
      </c>
      <c r="H119" s="34">
        <f>IF(F119&gt;50,0.2*G119,0.1*G119)</f>
        <v>8.0200000000000014</v>
      </c>
      <c r="I119" s="35" t="s">
        <v>131</v>
      </c>
      <c r="J119" s="40" t="s">
        <v>9</v>
      </c>
      <c r="K119" s="40" t="s">
        <v>104</v>
      </c>
    </row>
    <row r="120" spans="1:11" ht="15.5">
      <c r="A120" s="41" t="s">
        <v>122</v>
      </c>
      <c r="B120" s="42">
        <v>1119</v>
      </c>
      <c r="C120" s="40">
        <v>2242</v>
      </c>
      <c r="D120" s="40" t="s">
        <v>113</v>
      </c>
      <c r="E120" s="38">
        <v>60</v>
      </c>
      <c r="F120" s="38">
        <v>124</v>
      </c>
      <c r="G120" s="38">
        <f>F120-E120</f>
        <v>64</v>
      </c>
      <c r="H120" s="34">
        <f>IF(F120&gt;50,0.2*G120,0.1*G120)</f>
        <v>12.8</v>
      </c>
      <c r="I120" s="35" t="s">
        <v>129</v>
      </c>
      <c r="J120" s="40" t="s">
        <v>130</v>
      </c>
      <c r="K120" s="40" t="s">
        <v>115</v>
      </c>
    </row>
    <row r="121" spans="1:11" ht="15.5">
      <c r="A121" s="41" t="s">
        <v>122</v>
      </c>
      <c r="B121" s="42">
        <v>1120</v>
      </c>
      <c r="C121" s="40">
        <v>2242</v>
      </c>
      <c r="D121" s="40" t="s">
        <v>113</v>
      </c>
      <c r="E121" s="38">
        <v>60</v>
      </c>
      <c r="F121" s="38">
        <v>124</v>
      </c>
      <c r="G121" s="38">
        <f>F121-E121</f>
        <v>64</v>
      </c>
      <c r="H121" s="34">
        <f>IF(F121&gt;50,0.2*G121,0.1*G121)</f>
        <v>12.8</v>
      </c>
      <c r="I121" s="35" t="s">
        <v>132</v>
      </c>
      <c r="J121" s="40" t="s">
        <v>10</v>
      </c>
      <c r="K121" s="40" t="s">
        <v>104</v>
      </c>
    </row>
    <row r="122" spans="1:11" ht="15.5">
      <c r="A122" s="41" t="s">
        <v>122</v>
      </c>
      <c r="B122" s="42">
        <v>1121</v>
      </c>
      <c r="C122" s="40">
        <v>4421</v>
      </c>
      <c r="D122" s="40" t="s">
        <v>110</v>
      </c>
      <c r="E122" s="38">
        <v>45</v>
      </c>
      <c r="F122" s="38">
        <v>87</v>
      </c>
      <c r="G122" s="38">
        <f>F122-E122</f>
        <v>42</v>
      </c>
      <c r="H122" s="34">
        <f>IF(F122&gt;50,0.2*G122,0.1*G122)</f>
        <v>8.4</v>
      </c>
      <c r="I122" s="35" t="s">
        <v>132</v>
      </c>
      <c r="J122" s="40" t="s">
        <v>10</v>
      </c>
      <c r="K122" s="40" t="s">
        <v>114</v>
      </c>
    </row>
    <row r="123" spans="1:11" ht="15.5">
      <c r="A123" s="41" t="s">
        <v>122</v>
      </c>
      <c r="B123" s="42">
        <v>1122</v>
      </c>
      <c r="C123" s="40">
        <v>8722</v>
      </c>
      <c r="D123" s="40" t="s">
        <v>107</v>
      </c>
      <c r="E123" s="38">
        <v>344</v>
      </c>
      <c r="F123" s="38">
        <v>502</v>
      </c>
      <c r="G123" s="38">
        <f>F123-E123</f>
        <v>158</v>
      </c>
      <c r="H123" s="34">
        <f>IF(F123&gt;50,0.2*G123,0.1*G123)</f>
        <v>31.6</v>
      </c>
      <c r="I123" s="35" t="s">
        <v>132</v>
      </c>
      <c r="J123" s="40" t="s">
        <v>10</v>
      </c>
      <c r="K123" s="40" t="s">
        <v>106</v>
      </c>
    </row>
    <row r="124" spans="1:11" ht="15.5">
      <c r="A124" s="41" t="s">
        <v>122</v>
      </c>
      <c r="B124" s="42">
        <v>1123</v>
      </c>
      <c r="C124" s="40">
        <v>9822</v>
      </c>
      <c r="D124" s="40" t="s">
        <v>101</v>
      </c>
      <c r="E124" s="38">
        <v>58.3</v>
      </c>
      <c r="F124" s="38">
        <v>98.4</v>
      </c>
      <c r="G124" s="38">
        <f>F124-E124</f>
        <v>40.100000000000009</v>
      </c>
      <c r="H124" s="34">
        <f>IF(F124&gt;50,0.2*G124,0.1*G124)</f>
        <v>8.0200000000000014</v>
      </c>
      <c r="I124" s="35" t="s">
        <v>132</v>
      </c>
      <c r="J124" s="40" t="s">
        <v>10</v>
      </c>
      <c r="K124" s="40" t="s">
        <v>114</v>
      </c>
    </row>
    <row r="125" spans="1:11" ht="15.5">
      <c r="A125" s="41" t="s">
        <v>122</v>
      </c>
      <c r="B125" s="42">
        <v>1124</v>
      </c>
      <c r="C125" s="40">
        <v>4421</v>
      </c>
      <c r="D125" s="40" t="s">
        <v>110</v>
      </c>
      <c r="E125" s="38">
        <v>45</v>
      </c>
      <c r="F125" s="38">
        <v>87</v>
      </c>
      <c r="G125" s="38">
        <f>F125-E125</f>
        <v>42</v>
      </c>
      <c r="H125" s="34">
        <f>IF(F125&gt;50,0.2*G125,0.1*G125)</f>
        <v>8.4</v>
      </c>
      <c r="I125" s="35" t="s">
        <v>132</v>
      </c>
      <c r="J125" s="40" t="s">
        <v>10</v>
      </c>
      <c r="K125" s="40" t="s">
        <v>106</v>
      </c>
    </row>
    <row r="126" spans="1:11" ht="15.5">
      <c r="A126" s="41" t="s">
        <v>123</v>
      </c>
      <c r="B126" s="42">
        <v>1125</v>
      </c>
      <c r="C126" s="40">
        <v>2242</v>
      </c>
      <c r="D126" s="40" t="s">
        <v>113</v>
      </c>
      <c r="E126" s="38">
        <v>60</v>
      </c>
      <c r="F126" s="38">
        <v>124</v>
      </c>
      <c r="G126" s="38">
        <f>F126-E126</f>
        <v>64</v>
      </c>
      <c r="H126" s="34">
        <f>IF(F126&gt;50,0.2*G126,0.1*G126)</f>
        <v>12.8</v>
      </c>
      <c r="I126" s="35" t="s">
        <v>132</v>
      </c>
      <c r="J126" s="40" t="s">
        <v>10</v>
      </c>
      <c r="K126" s="40" t="s">
        <v>104</v>
      </c>
    </row>
    <row r="127" spans="1:11" ht="15.5">
      <c r="A127" s="41" t="s">
        <v>123</v>
      </c>
      <c r="B127" s="42">
        <v>1126</v>
      </c>
      <c r="C127" s="40">
        <v>9212</v>
      </c>
      <c r="D127" s="40" t="s">
        <v>111</v>
      </c>
      <c r="E127" s="38">
        <v>4</v>
      </c>
      <c r="F127" s="38">
        <v>7</v>
      </c>
      <c r="G127" s="38">
        <f>F127-E127</f>
        <v>3</v>
      </c>
      <c r="H127" s="34">
        <f>IF(F127&gt;50,0.2*G127,0.1*G127)</f>
        <v>0.30000000000000004</v>
      </c>
      <c r="I127" s="35" t="s">
        <v>132</v>
      </c>
      <c r="J127" s="40" t="s">
        <v>10</v>
      </c>
      <c r="K127" s="40" t="s">
        <v>102</v>
      </c>
    </row>
    <row r="128" spans="1:11" ht="15.5">
      <c r="A128" s="41" t="s">
        <v>123</v>
      </c>
      <c r="B128" s="42">
        <v>1127</v>
      </c>
      <c r="C128" s="40">
        <v>8722</v>
      </c>
      <c r="D128" s="40" t="s">
        <v>107</v>
      </c>
      <c r="E128" s="38">
        <v>344</v>
      </c>
      <c r="F128" s="38">
        <v>502</v>
      </c>
      <c r="G128" s="38">
        <f>F128-E128</f>
        <v>158</v>
      </c>
      <c r="H128" s="34">
        <f>IF(F128&gt;50,0.2*G128,0.1*G128)</f>
        <v>31.6</v>
      </c>
      <c r="I128" s="35" t="s">
        <v>129</v>
      </c>
      <c r="J128" s="40" t="s">
        <v>130</v>
      </c>
      <c r="K128" s="40" t="s">
        <v>114</v>
      </c>
    </row>
    <row r="129" spans="1:11" ht="15.5">
      <c r="A129" s="41" t="s">
        <v>123</v>
      </c>
      <c r="B129" s="42">
        <v>1128</v>
      </c>
      <c r="C129" s="40">
        <v>6622</v>
      </c>
      <c r="D129" s="40" t="s">
        <v>118</v>
      </c>
      <c r="E129" s="38">
        <v>42</v>
      </c>
      <c r="F129" s="38">
        <v>77</v>
      </c>
      <c r="G129" s="38">
        <f>F129-E129</f>
        <v>35</v>
      </c>
      <c r="H129" s="34">
        <f>IF(F129&gt;50,0.2*G129,0.1*G129)</f>
        <v>7</v>
      </c>
      <c r="I129" s="35" t="s">
        <v>131</v>
      </c>
      <c r="J129" s="40" t="s">
        <v>9</v>
      </c>
      <c r="K129" s="40" t="s">
        <v>104</v>
      </c>
    </row>
    <row r="130" spans="1:11" ht="15.5">
      <c r="A130" s="41" t="s">
        <v>123</v>
      </c>
      <c r="B130" s="42">
        <v>1129</v>
      </c>
      <c r="C130" s="40">
        <v>9822</v>
      </c>
      <c r="D130" s="40" t="s">
        <v>101</v>
      </c>
      <c r="E130" s="38">
        <v>58.3</v>
      </c>
      <c r="F130" s="38">
        <v>98.4</v>
      </c>
      <c r="G130" s="38">
        <f>F130-E130</f>
        <v>40.100000000000009</v>
      </c>
      <c r="H130" s="34">
        <f>IF(F130&gt;50,0.2*G130,0.1*G130)</f>
        <v>8.0200000000000014</v>
      </c>
      <c r="I130" s="35" t="s">
        <v>133</v>
      </c>
      <c r="J130" s="40" t="s">
        <v>134</v>
      </c>
      <c r="K130" s="40" t="s">
        <v>114</v>
      </c>
    </row>
    <row r="131" spans="1:11" ht="15.5">
      <c r="A131" s="41" t="s">
        <v>123</v>
      </c>
      <c r="B131" s="42">
        <v>1130</v>
      </c>
      <c r="C131" s="40">
        <v>4421</v>
      </c>
      <c r="D131" s="40" t="s">
        <v>110</v>
      </c>
      <c r="E131" s="38">
        <v>45</v>
      </c>
      <c r="F131" s="38">
        <v>87</v>
      </c>
      <c r="G131" s="38">
        <f>F131-E131</f>
        <v>42</v>
      </c>
      <c r="H131" s="34">
        <f>IF(F131&gt;50,0.2*G131,0.1*G131)</f>
        <v>8.4</v>
      </c>
      <c r="I131" s="35" t="s">
        <v>133</v>
      </c>
      <c r="J131" s="40" t="s">
        <v>134</v>
      </c>
      <c r="K131" s="40" t="s">
        <v>104</v>
      </c>
    </row>
    <row r="132" spans="1:11" ht="15.5">
      <c r="A132" s="41" t="s">
        <v>123</v>
      </c>
      <c r="B132" s="42">
        <v>1131</v>
      </c>
      <c r="C132" s="40">
        <v>9212</v>
      </c>
      <c r="D132" s="40" t="s">
        <v>111</v>
      </c>
      <c r="E132" s="38">
        <v>4</v>
      </c>
      <c r="F132" s="38">
        <v>7</v>
      </c>
      <c r="G132" s="38">
        <f>F132-E132</f>
        <v>3</v>
      </c>
      <c r="H132" s="34">
        <f>IF(F132&gt;50,0.2*G132,0.1*G132)</f>
        <v>0.30000000000000004</v>
      </c>
      <c r="I132" s="35" t="s">
        <v>133</v>
      </c>
      <c r="J132" s="40" t="s">
        <v>134</v>
      </c>
      <c r="K132" s="40" t="s">
        <v>106</v>
      </c>
    </row>
    <row r="133" spans="1:11" ht="15.5">
      <c r="A133" s="41" t="s">
        <v>123</v>
      </c>
      <c r="B133" s="42">
        <v>1132</v>
      </c>
      <c r="C133" s="40">
        <v>9212</v>
      </c>
      <c r="D133" s="40" t="s">
        <v>111</v>
      </c>
      <c r="E133" s="38">
        <v>4</v>
      </c>
      <c r="F133" s="38">
        <v>7</v>
      </c>
      <c r="G133" s="38">
        <f>F133-E133</f>
        <v>3</v>
      </c>
      <c r="H133" s="34">
        <f>IF(F133&gt;50,0.2*G133,0.1*G133)</f>
        <v>0.30000000000000004</v>
      </c>
      <c r="I133" s="35" t="s">
        <v>133</v>
      </c>
      <c r="J133" s="40" t="s">
        <v>134</v>
      </c>
      <c r="K133" s="40" t="s">
        <v>104</v>
      </c>
    </row>
    <row r="134" spans="1:11" ht="15.5">
      <c r="A134" s="41" t="s">
        <v>123</v>
      </c>
      <c r="B134" s="42">
        <v>1133</v>
      </c>
      <c r="C134" s="40">
        <v>9822</v>
      </c>
      <c r="D134" s="40" t="s">
        <v>101</v>
      </c>
      <c r="E134" s="38">
        <v>58.3</v>
      </c>
      <c r="F134" s="38">
        <v>98.4</v>
      </c>
      <c r="G134" s="38">
        <f>F134-E134</f>
        <v>40.100000000000009</v>
      </c>
      <c r="H134" s="34">
        <f>IF(F134&gt;50,0.2*G134,0.1*G134)</f>
        <v>8.0200000000000014</v>
      </c>
      <c r="I134" s="35" t="s">
        <v>129</v>
      </c>
      <c r="J134" s="40" t="s">
        <v>130</v>
      </c>
      <c r="K134" s="40" t="s">
        <v>106</v>
      </c>
    </row>
    <row r="135" spans="1:11" ht="15.5">
      <c r="A135" s="41" t="s">
        <v>123</v>
      </c>
      <c r="B135" s="42">
        <v>1134</v>
      </c>
      <c r="C135" s="40">
        <v>9822</v>
      </c>
      <c r="D135" s="40" t="s">
        <v>101</v>
      </c>
      <c r="E135" s="38">
        <v>58.3</v>
      </c>
      <c r="F135" s="38">
        <v>98.4</v>
      </c>
      <c r="G135" s="38">
        <f>F135-E135</f>
        <v>40.100000000000009</v>
      </c>
      <c r="H135" s="34">
        <f>IF(F135&gt;50,0.2*G135,0.1*G135)</f>
        <v>8.0200000000000014</v>
      </c>
      <c r="I135" s="35" t="s">
        <v>132</v>
      </c>
      <c r="J135" s="40" t="s">
        <v>10</v>
      </c>
      <c r="K135" s="40" t="s">
        <v>106</v>
      </c>
    </row>
    <row r="136" spans="1:11" ht="15.5">
      <c r="A136" s="41" t="s">
        <v>123</v>
      </c>
      <c r="B136" s="42">
        <v>1135</v>
      </c>
      <c r="C136" s="40">
        <v>8722</v>
      </c>
      <c r="D136" s="40" t="s">
        <v>107</v>
      </c>
      <c r="E136" s="38">
        <v>344</v>
      </c>
      <c r="F136" s="38">
        <v>502</v>
      </c>
      <c r="G136" s="38">
        <f>F136-E136</f>
        <v>158</v>
      </c>
      <c r="H136" s="34">
        <f>IF(F136&gt;50,0.2*G136,0.1*G136)</f>
        <v>31.6</v>
      </c>
      <c r="I136" s="35" t="s">
        <v>129</v>
      </c>
      <c r="J136" s="40" t="s">
        <v>130</v>
      </c>
      <c r="K136" s="40" t="s">
        <v>114</v>
      </c>
    </row>
    <row r="137" spans="1:11" ht="15.5">
      <c r="A137" s="41" t="s">
        <v>123</v>
      </c>
      <c r="B137" s="42">
        <v>1136</v>
      </c>
      <c r="C137" s="40">
        <v>2242</v>
      </c>
      <c r="D137" s="40" t="s">
        <v>113</v>
      </c>
      <c r="E137" s="38">
        <v>60</v>
      </c>
      <c r="F137" s="38">
        <v>124</v>
      </c>
      <c r="G137" s="38">
        <f>F137-E137</f>
        <v>64</v>
      </c>
      <c r="H137" s="34">
        <f>IF(F137&gt;50,0.2*G137,0.1*G137)</f>
        <v>12.8</v>
      </c>
      <c r="I137" s="35" t="s">
        <v>132</v>
      </c>
      <c r="J137" s="40" t="s">
        <v>10</v>
      </c>
      <c r="K137" s="40" t="s">
        <v>102</v>
      </c>
    </row>
    <row r="138" spans="1:11" ht="15.5">
      <c r="A138" s="41" t="s">
        <v>123</v>
      </c>
      <c r="B138" s="42">
        <v>1137</v>
      </c>
      <c r="C138" s="40">
        <v>9822</v>
      </c>
      <c r="D138" s="40" t="s">
        <v>101</v>
      </c>
      <c r="E138" s="38">
        <v>58.3</v>
      </c>
      <c r="F138" s="38">
        <v>98.4</v>
      </c>
      <c r="G138" s="38">
        <f>F138-E138</f>
        <v>40.100000000000009</v>
      </c>
      <c r="H138" s="34">
        <f>IF(F138&gt;50,0.2*G138,0.1*G138)</f>
        <v>8.0200000000000014</v>
      </c>
      <c r="I138" s="35" t="s">
        <v>131</v>
      </c>
      <c r="J138" s="40" t="s">
        <v>9</v>
      </c>
      <c r="K138" s="40" t="s">
        <v>104</v>
      </c>
    </row>
    <row r="139" spans="1:11" ht="15.5">
      <c r="A139" s="41" t="s">
        <v>123</v>
      </c>
      <c r="B139" s="42">
        <v>1138</v>
      </c>
      <c r="C139" s="40">
        <v>8722</v>
      </c>
      <c r="D139" s="40" t="s">
        <v>107</v>
      </c>
      <c r="E139" s="38">
        <v>344</v>
      </c>
      <c r="F139" s="38">
        <v>502</v>
      </c>
      <c r="G139" s="38">
        <f>F139-E139</f>
        <v>158</v>
      </c>
      <c r="H139" s="34">
        <f>IF(F139&gt;50,0.2*G139,0.1*G139)</f>
        <v>31.6</v>
      </c>
      <c r="I139" s="35" t="s">
        <v>129</v>
      </c>
      <c r="J139" s="40" t="s">
        <v>130</v>
      </c>
      <c r="K139" s="40" t="s">
        <v>115</v>
      </c>
    </row>
    <row r="140" spans="1:11" ht="15.5">
      <c r="A140" s="41" t="s">
        <v>123</v>
      </c>
      <c r="B140" s="42">
        <v>1139</v>
      </c>
      <c r="C140" s="40">
        <v>4421</v>
      </c>
      <c r="D140" s="40" t="s">
        <v>110</v>
      </c>
      <c r="E140" s="38">
        <v>45</v>
      </c>
      <c r="F140" s="38">
        <v>87</v>
      </c>
      <c r="G140" s="38">
        <f>F140-E140</f>
        <v>42</v>
      </c>
      <c r="H140" s="34">
        <f>IF(F140&gt;50,0.2*G140,0.1*G140)</f>
        <v>8.4</v>
      </c>
      <c r="I140" s="35" t="s">
        <v>132</v>
      </c>
      <c r="J140" s="40" t="s">
        <v>10</v>
      </c>
      <c r="K140" s="40" t="s">
        <v>104</v>
      </c>
    </row>
    <row r="141" spans="1:11" ht="15.5">
      <c r="A141" s="41" t="s">
        <v>123</v>
      </c>
      <c r="B141" s="42">
        <v>1140</v>
      </c>
      <c r="C141" s="40">
        <v>4421</v>
      </c>
      <c r="D141" s="40" t="s">
        <v>110</v>
      </c>
      <c r="E141" s="38">
        <v>45</v>
      </c>
      <c r="F141" s="38">
        <v>87</v>
      </c>
      <c r="G141" s="38">
        <f>F141-E141</f>
        <v>42</v>
      </c>
      <c r="H141" s="34">
        <f>IF(F141&gt;50,0.2*G141,0.1*G141)</f>
        <v>8.4</v>
      </c>
      <c r="I141" s="35" t="s">
        <v>131</v>
      </c>
      <c r="J141" s="40" t="s">
        <v>9</v>
      </c>
      <c r="K141" s="40" t="s">
        <v>114</v>
      </c>
    </row>
    <row r="142" spans="1:11" ht="15.5">
      <c r="A142" s="41" t="s">
        <v>123</v>
      </c>
      <c r="B142" s="42">
        <v>1141</v>
      </c>
      <c r="C142" s="40">
        <v>9212</v>
      </c>
      <c r="D142" s="40" t="s">
        <v>111</v>
      </c>
      <c r="E142" s="38">
        <v>4</v>
      </c>
      <c r="F142" s="38">
        <v>7</v>
      </c>
      <c r="G142" s="38">
        <f>F142-E142</f>
        <v>3</v>
      </c>
      <c r="H142" s="34">
        <f>IF(F142&gt;50,0.2*G142,0.1*G142)</f>
        <v>0.30000000000000004</v>
      </c>
      <c r="I142" s="35" t="s">
        <v>131</v>
      </c>
      <c r="J142" s="40" t="s">
        <v>9</v>
      </c>
      <c r="K142" s="40" t="s">
        <v>106</v>
      </c>
    </row>
    <row r="143" spans="1:11" ht="15.5">
      <c r="A143" s="41" t="s">
        <v>124</v>
      </c>
      <c r="B143" s="42">
        <v>1142</v>
      </c>
      <c r="C143" s="40">
        <v>2242</v>
      </c>
      <c r="D143" s="40" t="s">
        <v>113</v>
      </c>
      <c r="E143" s="38">
        <v>60</v>
      </c>
      <c r="F143" s="38">
        <v>124</v>
      </c>
      <c r="G143" s="38">
        <f>F143-E143</f>
        <v>64</v>
      </c>
      <c r="H143" s="34">
        <f>IF(F143&gt;50,0.2*G143,0.1*G143)</f>
        <v>12.8</v>
      </c>
      <c r="I143" s="35" t="s">
        <v>131</v>
      </c>
      <c r="J143" s="40" t="s">
        <v>9</v>
      </c>
      <c r="K143" s="40" t="s">
        <v>114</v>
      </c>
    </row>
    <row r="144" spans="1:11" ht="15.5">
      <c r="A144" s="41" t="s">
        <v>124</v>
      </c>
      <c r="B144" s="42">
        <v>1143</v>
      </c>
      <c r="C144" s="40">
        <v>9822</v>
      </c>
      <c r="D144" s="40" t="s">
        <v>101</v>
      </c>
      <c r="E144" s="38">
        <v>58.3</v>
      </c>
      <c r="F144" s="38">
        <v>98.4</v>
      </c>
      <c r="G144" s="38">
        <f>F144-E144</f>
        <v>40.100000000000009</v>
      </c>
      <c r="H144" s="34">
        <f>IF(F144&gt;50,0.2*G144,0.1*G144)</f>
        <v>8.0200000000000014</v>
      </c>
      <c r="I144" s="35" t="s">
        <v>133</v>
      </c>
      <c r="J144" s="40" t="s">
        <v>134</v>
      </c>
      <c r="K144" s="40" t="s">
        <v>106</v>
      </c>
    </row>
    <row r="145" spans="1:11" ht="15.5">
      <c r="A145" s="41" t="s">
        <v>124</v>
      </c>
      <c r="B145" s="42">
        <v>1144</v>
      </c>
      <c r="C145" s="40">
        <v>2242</v>
      </c>
      <c r="D145" s="40" t="s">
        <v>113</v>
      </c>
      <c r="E145" s="38">
        <v>60</v>
      </c>
      <c r="F145" s="38">
        <v>124</v>
      </c>
      <c r="G145" s="38">
        <f>F145-E145</f>
        <v>64</v>
      </c>
      <c r="H145" s="34">
        <f>IF(F145&gt;50,0.2*G145,0.1*G145)</f>
        <v>12.8</v>
      </c>
      <c r="I145" s="35" t="s">
        <v>133</v>
      </c>
      <c r="J145" s="40" t="s">
        <v>134</v>
      </c>
      <c r="K145" s="40" t="s">
        <v>104</v>
      </c>
    </row>
    <row r="146" spans="1:11" ht="15.5">
      <c r="A146" s="41" t="s">
        <v>124</v>
      </c>
      <c r="B146" s="42">
        <v>1145</v>
      </c>
      <c r="C146" s="40">
        <v>4421</v>
      </c>
      <c r="D146" s="40" t="s">
        <v>110</v>
      </c>
      <c r="E146" s="38">
        <v>45</v>
      </c>
      <c r="F146" s="38">
        <v>87</v>
      </c>
      <c r="G146" s="38">
        <f>F146-E146</f>
        <v>42</v>
      </c>
      <c r="H146" s="34">
        <f>IF(F146&gt;50,0.2*G146,0.1*G146)</f>
        <v>8.4</v>
      </c>
      <c r="I146" s="35" t="s">
        <v>133</v>
      </c>
      <c r="J146" s="40" t="s">
        <v>134</v>
      </c>
      <c r="K146" s="40" t="s">
        <v>102</v>
      </c>
    </row>
    <row r="147" spans="1:11" ht="15.5">
      <c r="A147" s="41" t="s">
        <v>124</v>
      </c>
      <c r="B147" s="42">
        <v>1146</v>
      </c>
      <c r="C147" s="40">
        <v>8722</v>
      </c>
      <c r="D147" s="40" t="s">
        <v>107</v>
      </c>
      <c r="E147" s="38">
        <v>344</v>
      </c>
      <c r="F147" s="38">
        <v>502</v>
      </c>
      <c r="G147" s="38">
        <f>F147-E147</f>
        <v>158</v>
      </c>
      <c r="H147" s="34">
        <f>IF(F147&gt;50,0.2*G147,0.1*G147)</f>
        <v>31.6</v>
      </c>
      <c r="I147" s="35" t="s">
        <v>133</v>
      </c>
      <c r="J147" s="40" t="s">
        <v>134</v>
      </c>
      <c r="K147" s="40" t="s">
        <v>114</v>
      </c>
    </row>
    <row r="148" spans="1:11" ht="15.5">
      <c r="A148" s="41" t="s">
        <v>124</v>
      </c>
      <c r="B148" s="42">
        <v>1147</v>
      </c>
      <c r="C148" s="40">
        <v>9822</v>
      </c>
      <c r="D148" s="40" t="s">
        <v>101</v>
      </c>
      <c r="E148" s="38">
        <v>58.3</v>
      </c>
      <c r="F148" s="38">
        <v>98.4</v>
      </c>
      <c r="G148" s="38">
        <f>F148-E148</f>
        <v>40.100000000000009</v>
      </c>
      <c r="H148" s="34">
        <f>IF(F148&gt;50,0.2*G148,0.1*G148)</f>
        <v>8.0200000000000014</v>
      </c>
      <c r="I148" s="35" t="s">
        <v>129</v>
      </c>
      <c r="J148" s="40" t="s">
        <v>130</v>
      </c>
      <c r="K148" s="40" t="s">
        <v>104</v>
      </c>
    </row>
    <row r="149" spans="1:11" ht="15.5">
      <c r="A149" s="41" t="s">
        <v>124</v>
      </c>
      <c r="B149" s="42">
        <v>1148</v>
      </c>
      <c r="C149" s="40">
        <v>9212</v>
      </c>
      <c r="D149" s="40" t="s">
        <v>111</v>
      </c>
      <c r="E149" s="38">
        <v>4</v>
      </c>
      <c r="F149" s="38">
        <v>7</v>
      </c>
      <c r="G149" s="38">
        <f>F149-E149</f>
        <v>3</v>
      </c>
      <c r="H149" s="34">
        <f>IF(F149&gt;50,0.2*G149,0.1*G149)</f>
        <v>0.30000000000000004</v>
      </c>
      <c r="I149" s="35" t="s">
        <v>132</v>
      </c>
      <c r="J149" s="40" t="s">
        <v>10</v>
      </c>
      <c r="K149" s="40" t="s">
        <v>106</v>
      </c>
    </row>
    <row r="150" spans="1:11" ht="15.5">
      <c r="A150" s="41" t="s">
        <v>124</v>
      </c>
      <c r="B150" s="42">
        <v>1149</v>
      </c>
      <c r="C150" s="40">
        <v>8722</v>
      </c>
      <c r="D150" s="40" t="s">
        <v>107</v>
      </c>
      <c r="E150" s="38">
        <v>344</v>
      </c>
      <c r="F150" s="38">
        <v>502</v>
      </c>
      <c r="G150" s="38">
        <f>F150-E150</f>
        <v>158</v>
      </c>
      <c r="H150" s="34">
        <f>IF(F150&gt;50,0.2*G150,0.1*G150)</f>
        <v>31.6</v>
      </c>
      <c r="I150" s="35" t="s">
        <v>129</v>
      </c>
      <c r="J150" s="40" t="s">
        <v>130</v>
      </c>
      <c r="K150" s="40" t="s">
        <v>106</v>
      </c>
    </row>
    <row r="151" spans="1:11" ht="15.5">
      <c r="A151" s="41" t="s">
        <v>125</v>
      </c>
      <c r="B151" s="42">
        <v>1150</v>
      </c>
      <c r="C151" s="40">
        <v>2242</v>
      </c>
      <c r="D151" s="40" t="s">
        <v>113</v>
      </c>
      <c r="E151" s="38">
        <v>60</v>
      </c>
      <c r="F151" s="38">
        <v>124</v>
      </c>
      <c r="G151" s="38">
        <f>F151-E151</f>
        <v>64</v>
      </c>
      <c r="H151" s="34">
        <f>IF(F151&gt;50,0.2*G151,0.1*G151)</f>
        <v>12.8</v>
      </c>
      <c r="I151" s="35" t="s">
        <v>132</v>
      </c>
      <c r="J151" s="40" t="s">
        <v>10</v>
      </c>
      <c r="K151" s="40" t="s">
        <v>115</v>
      </c>
    </row>
    <row r="152" spans="1:11" ht="15.5">
      <c r="A152" s="41" t="s">
        <v>125</v>
      </c>
      <c r="B152" s="42">
        <v>1151</v>
      </c>
      <c r="C152" s="40">
        <v>2242</v>
      </c>
      <c r="D152" s="40" t="s">
        <v>113</v>
      </c>
      <c r="E152" s="38">
        <v>60</v>
      </c>
      <c r="F152" s="38">
        <v>124</v>
      </c>
      <c r="G152" s="38">
        <f>F152-E152</f>
        <v>64</v>
      </c>
      <c r="H152" s="34">
        <f>IF(F152&gt;50,0.2*G152,0.1*G152)</f>
        <v>12.8</v>
      </c>
      <c r="I152" s="35" t="s">
        <v>131</v>
      </c>
      <c r="J152" s="40" t="s">
        <v>9</v>
      </c>
      <c r="K152" s="40" t="s">
        <v>104</v>
      </c>
    </row>
    <row r="153" spans="1:11" ht="15.5">
      <c r="A153" s="41" t="s">
        <v>125</v>
      </c>
      <c r="B153" s="42">
        <v>1152</v>
      </c>
      <c r="C153" s="40">
        <v>4421</v>
      </c>
      <c r="D153" s="40" t="s">
        <v>110</v>
      </c>
      <c r="E153" s="38">
        <v>45</v>
      </c>
      <c r="F153" s="38">
        <v>87</v>
      </c>
      <c r="G153" s="38">
        <f>F153-E153</f>
        <v>42</v>
      </c>
      <c r="H153" s="34">
        <f>IF(F153&gt;50,0.2*G153,0.1*G153)</f>
        <v>8.4</v>
      </c>
      <c r="I153" s="35" t="s">
        <v>129</v>
      </c>
      <c r="J153" s="40" t="s">
        <v>130</v>
      </c>
      <c r="K153" s="40" t="s">
        <v>114</v>
      </c>
    </row>
    <row r="154" spans="1:11" ht="15.5">
      <c r="A154" s="41" t="s">
        <v>125</v>
      </c>
      <c r="B154" s="42">
        <v>1153</v>
      </c>
      <c r="C154" s="40">
        <v>8722</v>
      </c>
      <c r="D154" s="40" t="s">
        <v>107</v>
      </c>
      <c r="E154" s="38">
        <v>344</v>
      </c>
      <c r="F154" s="38">
        <v>502</v>
      </c>
      <c r="G154" s="38">
        <f>F154-E154</f>
        <v>158</v>
      </c>
      <c r="H154" s="34">
        <f>IF(F154&gt;50,0.2*G154,0.1*G154)</f>
        <v>31.6</v>
      </c>
      <c r="I154" s="35" t="s">
        <v>132</v>
      </c>
      <c r="J154" s="40" t="s">
        <v>10</v>
      </c>
      <c r="K154" s="40" t="s">
        <v>106</v>
      </c>
    </row>
    <row r="155" spans="1:11" ht="15.5">
      <c r="A155" s="41" t="s">
        <v>125</v>
      </c>
      <c r="B155" s="42">
        <v>1154</v>
      </c>
      <c r="C155" s="40">
        <v>9822</v>
      </c>
      <c r="D155" s="40" t="s">
        <v>101</v>
      </c>
      <c r="E155" s="38">
        <v>58.3</v>
      </c>
      <c r="F155" s="38">
        <v>98.4</v>
      </c>
      <c r="G155" s="38">
        <f>F155-E155</f>
        <v>40.100000000000009</v>
      </c>
      <c r="H155" s="34">
        <f>IF(F155&gt;50,0.2*G155,0.1*G155)</f>
        <v>8.0200000000000014</v>
      </c>
      <c r="I155" s="35" t="s">
        <v>131</v>
      </c>
      <c r="J155" s="40" t="s">
        <v>9</v>
      </c>
      <c r="K155" s="40" t="s">
        <v>114</v>
      </c>
    </row>
    <row r="156" spans="1:11" ht="15.5">
      <c r="A156" s="41" t="s">
        <v>125</v>
      </c>
      <c r="B156" s="42">
        <v>1155</v>
      </c>
      <c r="C156" s="40">
        <v>4421</v>
      </c>
      <c r="D156" s="40" t="s">
        <v>110</v>
      </c>
      <c r="E156" s="38">
        <v>45</v>
      </c>
      <c r="F156" s="38">
        <v>87</v>
      </c>
      <c r="G156" s="38">
        <f>F156-E156</f>
        <v>42</v>
      </c>
      <c r="H156" s="34">
        <f>IF(F156&gt;50,0.2*G156,0.1*G156)</f>
        <v>8.4</v>
      </c>
      <c r="I156" s="35" t="s">
        <v>132</v>
      </c>
      <c r="J156" s="40" t="s">
        <v>10</v>
      </c>
      <c r="K156" s="40" t="s">
        <v>106</v>
      </c>
    </row>
    <row r="157" spans="1:11" ht="15.5">
      <c r="A157" s="41" t="s">
        <v>125</v>
      </c>
      <c r="B157" s="42">
        <v>1156</v>
      </c>
      <c r="C157" s="40">
        <v>2242</v>
      </c>
      <c r="D157" s="40" t="s">
        <v>113</v>
      </c>
      <c r="E157" s="38">
        <v>60</v>
      </c>
      <c r="F157" s="38">
        <v>124</v>
      </c>
      <c r="G157" s="38">
        <f>F157-E157</f>
        <v>64</v>
      </c>
      <c r="H157" s="34">
        <f>IF(F157&gt;50,0.2*G157,0.1*G157)</f>
        <v>12.8</v>
      </c>
      <c r="I157" s="35" t="s">
        <v>132</v>
      </c>
      <c r="J157" s="40" t="s">
        <v>10</v>
      </c>
      <c r="K157" s="40" t="s">
        <v>104</v>
      </c>
    </row>
    <row r="158" spans="1:11" ht="15.5">
      <c r="A158" s="41" t="s">
        <v>125</v>
      </c>
      <c r="B158" s="42">
        <v>1157</v>
      </c>
      <c r="C158" s="40">
        <v>9212</v>
      </c>
      <c r="D158" s="40" t="s">
        <v>111</v>
      </c>
      <c r="E158" s="38">
        <v>4</v>
      </c>
      <c r="F158" s="38">
        <v>7</v>
      </c>
      <c r="G158" s="38">
        <f>F158-E158</f>
        <v>3</v>
      </c>
      <c r="H158" s="34">
        <f>IF(F158&gt;50,0.2*G158,0.1*G158)</f>
        <v>0.30000000000000004</v>
      </c>
      <c r="I158" s="35" t="s">
        <v>132</v>
      </c>
      <c r="J158" s="40" t="s">
        <v>10</v>
      </c>
      <c r="K158" s="40" t="s">
        <v>102</v>
      </c>
    </row>
    <row r="159" spans="1:11" ht="15.5">
      <c r="A159" s="41" t="s">
        <v>126</v>
      </c>
      <c r="B159" s="42">
        <v>1158</v>
      </c>
      <c r="C159" s="40">
        <v>8722</v>
      </c>
      <c r="D159" s="40" t="s">
        <v>107</v>
      </c>
      <c r="E159" s="38">
        <v>344</v>
      </c>
      <c r="F159" s="38">
        <v>502</v>
      </c>
      <c r="G159" s="38">
        <f>F159-E159</f>
        <v>158</v>
      </c>
      <c r="H159" s="34">
        <f>IF(F159&gt;50,0.2*G159,0.1*G159)</f>
        <v>31.6</v>
      </c>
      <c r="I159" s="35" t="s">
        <v>129</v>
      </c>
      <c r="J159" s="40" t="s">
        <v>130</v>
      </c>
      <c r="K159" s="40" t="s">
        <v>114</v>
      </c>
    </row>
    <row r="160" spans="1:11" ht="15.5">
      <c r="A160" s="41" t="s">
        <v>126</v>
      </c>
      <c r="B160" s="42">
        <v>1159</v>
      </c>
      <c r="C160" s="40">
        <v>6622</v>
      </c>
      <c r="D160" s="40" t="s">
        <v>118</v>
      </c>
      <c r="E160" s="38">
        <v>42</v>
      </c>
      <c r="F160" s="38">
        <v>77</v>
      </c>
      <c r="G160" s="38">
        <f>F160-E160</f>
        <v>35</v>
      </c>
      <c r="H160" s="34">
        <f>IF(F160&gt;50,0.2*G160,0.1*G160)</f>
        <v>7</v>
      </c>
      <c r="I160" s="35" t="s">
        <v>132</v>
      </c>
      <c r="J160" s="40" t="s">
        <v>10</v>
      </c>
      <c r="K160" s="40" t="s">
        <v>104</v>
      </c>
    </row>
    <row r="161" spans="1:11" ht="15.5">
      <c r="A161" s="41" t="s">
        <v>126</v>
      </c>
      <c r="B161" s="42">
        <v>1160</v>
      </c>
      <c r="C161" s="40">
        <v>9822</v>
      </c>
      <c r="D161" s="40" t="s">
        <v>101</v>
      </c>
      <c r="E161" s="38">
        <v>58.3</v>
      </c>
      <c r="F161" s="38">
        <v>98.4</v>
      </c>
      <c r="G161" s="38">
        <f>F161-E161</f>
        <v>40.100000000000009</v>
      </c>
      <c r="H161" s="34">
        <f>IF(F161&gt;50,0.2*G161,0.1*G161)</f>
        <v>8.0200000000000014</v>
      </c>
      <c r="I161" s="35" t="s">
        <v>133</v>
      </c>
      <c r="J161" s="40" t="s">
        <v>134</v>
      </c>
      <c r="K161" s="40" t="s">
        <v>114</v>
      </c>
    </row>
    <row r="162" spans="1:11" ht="15.5">
      <c r="A162" s="41" t="s">
        <v>126</v>
      </c>
      <c r="B162" s="42">
        <v>1161</v>
      </c>
      <c r="C162" s="40">
        <v>4421</v>
      </c>
      <c r="D162" s="40" t="s">
        <v>110</v>
      </c>
      <c r="E162" s="38">
        <v>45</v>
      </c>
      <c r="F162" s="38">
        <v>87</v>
      </c>
      <c r="G162" s="38">
        <f>F162-E162</f>
        <v>42</v>
      </c>
      <c r="H162" s="34">
        <f>IF(F162&gt;50,0.2*G162,0.1*G162)</f>
        <v>8.4</v>
      </c>
      <c r="I162" s="35" t="s">
        <v>131</v>
      </c>
      <c r="J162" s="40" t="s">
        <v>9</v>
      </c>
      <c r="K162" s="40" t="s">
        <v>104</v>
      </c>
    </row>
    <row r="163" spans="1:11" ht="15.5">
      <c r="A163" s="41" t="s">
        <v>126</v>
      </c>
      <c r="B163" s="42">
        <v>1162</v>
      </c>
      <c r="C163" s="40">
        <v>9212</v>
      </c>
      <c r="D163" s="40" t="s">
        <v>111</v>
      </c>
      <c r="E163" s="38">
        <v>4</v>
      </c>
      <c r="F163" s="38">
        <v>7</v>
      </c>
      <c r="G163" s="38">
        <f>F163-E163</f>
        <v>3</v>
      </c>
      <c r="H163" s="34">
        <f>IF(F163&gt;50,0.2*G163,0.1*G163)</f>
        <v>0.30000000000000004</v>
      </c>
      <c r="I163" s="35" t="s">
        <v>129</v>
      </c>
      <c r="J163" s="40" t="s">
        <v>130</v>
      </c>
      <c r="K163" s="40" t="s">
        <v>106</v>
      </c>
    </row>
    <row r="164" spans="1:11" ht="15.5">
      <c r="A164" s="41" t="s">
        <v>126</v>
      </c>
      <c r="B164" s="42">
        <v>1163</v>
      </c>
      <c r="C164" s="40">
        <v>9212</v>
      </c>
      <c r="D164" s="40" t="s">
        <v>111</v>
      </c>
      <c r="E164" s="38">
        <v>4</v>
      </c>
      <c r="F164" s="38">
        <v>7</v>
      </c>
      <c r="G164" s="38">
        <f>F164-E164</f>
        <v>3</v>
      </c>
      <c r="H164" s="34">
        <f>IF(F164&gt;50,0.2*G164,0.1*G164)</f>
        <v>0.30000000000000004</v>
      </c>
      <c r="I164" s="35" t="s">
        <v>132</v>
      </c>
      <c r="J164" s="40" t="s">
        <v>10</v>
      </c>
      <c r="K164" s="40" t="s">
        <v>104</v>
      </c>
    </row>
    <row r="165" spans="1:11" ht="15.5">
      <c r="A165" s="41" t="s">
        <v>126</v>
      </c>
      <c r="B165" s="42">
        <v>1164</v>
      </c>
      <c r="C165" s="40">
        <v>9822</v>
      </c>
      <c r="D165" s="40" t="s">
        <v>101</v>
      </c>
      <c r="E165" s="38">
        <v>58.3</v>
      </c>
      <c r="F165" s="38">
        <v>98.4</v>
      </c>
      <c r="G165" s="38">
        <f>F165-E165</f>
        <v>40.100000000000009</v>
      </c>
      <c r="H165" s="34">
        <f>IF(F165&gt;50,0.2*G165,0.1*G165)</f>
        <v>8.0200000000000014</v>
      </c>
      <c r="I165" s="35" t="s">
        <v>132</v>
      </c>
      <c r="J165" s="40" t="s">
        <v>10</v>
      </c>
      <c r="K165" s="40" t="s">
        <v>106</v>
      </c>
    </row>
    <row r="166" spans="1:11" ht="15.5">
      <c r="A166" s="41" t="s">
        <v>126</v>
      </c>
      <c r="B166" s="42">
        <v>1165</v>
      </c>
      <c r="C166" s="40">
        <v>9822</v>
      </c>
      <c r="D166" s="40" t="s">
        <v>101</v>
      </c>
      <c r="E166" s="38">
        <v>58.3</v>
      </c>
      <c r="F166" s="38">
        <v>98.4</v>
      </c>
      <c r="G166" s="38">
        <f>F166-E166</f>
        <v>40.100000000000009</v>
      </c>
      <c r="H166" s="34">
        <f>IF(F166&gt;50,0.2*G166,0.1*G166)</f>
        <v>8.0200000000000014</v>
      </c>
      <c r="I166" s="35" t="s">
        <v>132</v>
      </c>
      <c r="J166" s="40" t="s">
        <v>10</v>
      </c>
      <c r="K166" s="40" t="s">
        <v>106</v>
      </c>
    </row>
    <row r="167" spans="1:11" ht="15.5">
      <c r="A167" s="41" t="s">
        <v>126</v>
      </c>
      <c r="B167" s="42">
        <v>1166</v>
      </c>
      <c r="C167" s="40">
        <v>8722</v>
      </c>
      <c r="D167" s="40" t="s">
        <v>107</v>
      </c>
      <c r="E167" s="38">
        <v>344</v>
      </c>
      <c r="F167" s="38">
        <v>502</v>
      </c>
      <c r="G167" s="38">
        <f>F167-E167</f>
        <v>158</v>
      </c>
      <c r="H167" s="34">
        <f>IF(F167&gt;50,0.2*G167,0.1*G167)</f>
        <v>31.6</v>
      </c>
      <c r="I167" s="35" t="s">
        <v>132</v>
      </c>
      <c r="J167" s="40" t="s">
        <v>10</v>
      </c>
      <c r="K167" s="40" t="s">
        <v>114</v>
      </c>
    </row>
    <row r="168" spans="1:11" ht="15.5">
      <c r="A168" s="41" t="s">
        <v>127</v>
      </c>
      <c r="B168" s="42">
        <v>1167</v>
      </c>
      <c r="C168" s="40">
        <v>2242</v>
      </c>
      <c r="D168" s="40" t="s">
        <v>113</v>
      </c>
      <c r="E168" s="38">
        <v>60</v>
      </c>
      <c r="F168" s="38">
        <v>124</v>
      </c>
      <c r="G168" s="38">
        <f>F168-E168</f>
        <v>64</v>
      </c>
      <c r="H168" s="34">
        <f>IF(F168&gt;50,0.2*G168,0.1*G168)</f>
        <v>12.8</v>
      </c>
      <c r="I168" s="35" t="s">
        <v>132</v>
      </c>
      <c r="J168" s="40" t="s">
        <v>10</v>
      </c>
      <c r="K168" s="40" t="s">
        <v>102</v>
      </c>
    </row>
    <row r="169" spans="1:11" ht="15.5">
      <c r="A169" s="41" t="s">
        <v>127</v>
      </c>
      <c r="B169" s="42">
        <v>1168</v>
      </c>
      <c r="C169" s="40">
        <v>9822</v>
      </c>
      <c r="D169" s="40" t="s">
        <v>101</v>
      </c>
      <c r="E169" s="38">
        <v>58.3</v>
      </c>
      <c r="F169" s="38">
        <v>98.4</v>
      </c>
      <c r="G169" s="38">
        <f>F169-E169</f>
        <v>40.100000000000009</v>
      </c>
      <c r="H169" s="34">
        <f>IF(F169&gt;50,0.2*G169,0.1*G169)</f>
        <v>8.0200000000000014</v>
      </c>
      <c r="I169" s="35" t="s">
        <v>132</v>
      </c>
      <c r="J169" s="40" t="s">
        <v>10</v>
      </c>
      <c r="K169" s="40" t="s">
        <v>104</v>
      </c>
    </row>
    <row r="170" spans="1:11" ht="15.5">
      <c r="A170" s="41" t="s">
        <v>127</v>
      </c>
      <c r="B170" s="42">
        <v>1169</v>
      </c>
      <c r="C170" s="40">
        <v>8722</v>
      </c>
      <c r="D170" s="40" t="s">
        <v>107</v>
      </c>
      <c r="E170" s="38">
        <v>344</v>
      </c>
      <c r="F170" s="38">
        <v>502</v>
      </c>
      <c r="G170" s="38">
        <f>F170-E170</f>
        <v>158</v>
      </c>
      <c r="H170" s="34">
        <f>IF(F170&gt;50,0.2*G170,0.1*G170)</f>
        <v>31.6</v>
      </c>
      <c r="I170" s="35" t="s">
        <v>132</v>
      </c>
      <c r="J170" s="40" t="s">
        <v>10</v>
      </c>
      <c r="K170" s="40" t="s">
        <v>115</v>
      </c>
    </row>
    <row r="171" spans="1:11" ht="15.5">
      <c r="A171" s="41" t="s">
        <v>127</v>
      </c>
      <c r="B171" s="42">
        <v>1170</v>
      </c>
      <c r="C171" s="40">
        <v>4421</v>
      </c>
      <c r="D171" s="40" t="s">
        <v>110</v>
      </c>
      <c r="E171" s="38">
        <v>45</v>
      </c>
      <c r="F171" s="38">
        <v>87</v>
      </c>
      <c r="G171" s="38">
        <f>F171-E171</f>
        <v>42</v>
      </c>
      <c r="H171" s="34">
        <f>IF(F171&gt;50,0.2*G171,0.1*G171)</f>
        <v>8.4</v>
      </c>
      <c r="I171" s="35" t="s">
        <v>129</v>
      </c>
      <c r="J171" s="40" t="s">
        <v>130</v>
      </c>
      <c r="K171" s="40" t="s">
        <v>104</v>
      </c>
    </row>
    <row r="172" spans="1:11" ht="15.5">
      <c r="A172" s="41" t="s">
        <v>127</v>
      </c>
      <c r="B172" s="42">
        <v>1171</v>
      </c>
      <c r="C172" s="40">
        <v>4421</v>
      </c>
      <c r="D172" s="40" t="s">
        <v>110</v>
      </c>
      <c r="E172" s="38">
        <v>45</v>
      </c>
      <c r="F172" s="38">
        <v>87</v>
      </c>
      <c r="G172" s="38">
        <f>F172-E172</f>
        <v>42</v>
      </c>
      <c r="H172" s="34">
        <f>IF(F172&gt;50,0.2*G172,0.1*G172)</f>
        <v>8.4</v>
      </c>
      <c r="I172" s="35" t="s">
        <v>131</v>
      </c>
      <c r="J172" s="40" t="s">
        <v>9</v>
      </c>
      <c r="K172" s="40" t="s">
        <v>114</v>
      </c>
    </row>
    <row r="174" spans="1:11" ht="15.5">
      <c r="A174" s="41" t="s">
        <v>135</v>
      </c>
      <c r="F174" s="2">
        <f>SUM(F2:F172)</f>
        <v>17110.599999999995</v>
      </c>
    </row>
    <row r="175" spans="1:11" ht="15.5">
      <c r="A175" s="41" t="s">
        <v>136</v>
      </c>
      <c r="F175" s="2">
        <f>SUMIF(F2:F172,"&gt;50")</f>
        <v>16088.399999999994</v>
      </c>
    </row>
    <row r="176" spans="1:11" ht="15.5">
      <c r="A176" s="41" t="s">
        <v>137</v>
      </c>
      <c r="F176" s="2">
        <f>SUMIF(F2:F172,"&lt;=50")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57BF-7D02-4E42-AE25-F7DFC6D1EACE}">
  <dimension ref="A1:B8"/>
  <sheetViews>
    <sheetView workbookViewId="0">
      <selection activeCell="O9" sqref="O9"/>
    </sheetView>
  </sheetViews>
  <sheetFormatPr defaultRowHeight="14.5"/>
  <cols>
    <col min="1" max="1" width="12.36328125" bestFit="1" customWidth="1"/>
    <col min="2" max="2" width="15.08984375" bestFit="1" customWidth="1"/>
  </cols>
  <sheetData>
    <row r="1" spans="1:2">
      <c r="A1" t="s">
        <v>141</v>
      </c>
    </row>
    <row r="3" spans="1:2">
      <c r="A3" s="33" t="s">
        <v>138</v>
      </c>
      <c r="B3" t="s">
        <v>140</v>
      </c>
    </row>
    <row r="4" spans="1:2">
      <c r="A4" s="32" t="s">
        <v>130</v>
      </c>
      <c r="B4" s="2">
        <v>6003.5</v>
      </c>
    </row>
    <row r="5" spans="1:2">
      <c r="A5" s="32" t="s">
        <v>9</v>
      </c>
      <c r="B5" s="2">
        <v>2410.7000000000003</v>
      </c>
    </row>
    <row r="6" spans="1:2">
      <c r="A6" s="32" t="s">
        <v>134</v>
      </c>
      <c r="B6" s="2">
        <v>3035.3</v>
      </c>
    </row>
    <row r="7" spans="1:2">
      <c r="A7" s="32" t="s">
        <v>10</v>
      </c>
      <c r="B7" s="2">
        <v>5661.0999999999985</v>
      </c>
    </row>
    <row r="8" spans="1:2">
      <c r="A8" s="32" t="s">
        <v>139</v>
      </c>
      <c r="B8" s="2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4266-EF83-4945-8B63-C5F19909A552}">
  <dimension ref="A3:B21"/>
  <sheetViews>
    <sheetView workbookViewId="0">
      <selection activeCell="M12" sqref="M12"/>
    </sheetView>
  </sheetViews>
  <sheetFormatPr defaultRowHeight="14.5"/>
  <cols>
    <col min="1" max="1" width="12.36328125" bestFit="1" customWidth="1"/>
    <col min="2" max="2" width="11.54296875" bestFit="1" customWidth="1"/>
  </cols>
  <sheetData>
    <row r="3" spans="1:2">
      <c r="A3" s="33" t="s">
        <v>138</v>
      </c>
      <c r="B3" t="s">
        <v>262</v>
      </c>
    </row>
    <row r="4" spans="1:2">
      <c r="A4" s="32" t="s">
        <v>181</v>
      </c>
      <c r="B4" s="31">
        <v>144647.69999999998</v>
      </c>
    </row>
    <row r="5" spans="1:2">
      <c r="A5" s="32" t="s">
        <v>190</v>
      </c>
      <c r="B5" s="31">
        <v>150656.40000000002</v>
      </c>
    </row>
    <row r="6" spans="1:2">
      <c r="A6" s="32" t="s">
        <v>167</v>
      </c>
      <c r="B6" s="31">
        <v>154427.9</v>
      </c>
    </row>
    <row r="7" spans="1:2">
      <c r="A7" s="32" t="s">
        <v>198</v>
      </c>
      <c r="B7" s="31">
        <v>179986</v>
      </c>
    </row>
    <row r="8" spans="1:2">
      <c r="A8" s="32" t="s">
        <v>7</v>
      </c>
      <c r="B8" s="31">
        <v>143640.70000000001</v>
      </c>
    </row>
    <row r="9" spans="1:2">
      <c r="A9" s="32" t="s">
        <v>185</v>
      </c>
      <c r="B9" s="31">
        <v>135078.20000000001</v>
      </c>
    </row>
    <row r="10" spans="1:2">
      <c r="A10" s="32" t="s">
        <v>165</v>
      </c>
      <c r="B10" s="31">
        <v>184693.8</v>
      </c>
    </row>
    <row r="11" spans="1:2">
      <c r="A11" s="32" t="s">
        <v>163</v>
      </c>
      <c r="B11" s="31">
        <v>127731.3</v>
      </c>
    </row>
    <row r="12" spans="1:2">
      <c r="A12" s="32" t="s">
        <v>160</v>
      </c>
      <c r="B12" s="31">
        <v>70964.899999999994</v>
      </c>
    </row>
    <row r="13" spans="1:2">
      <c r="A13" s="32" t="s">
        <v>172</v>
      </c>
      <c r="B13" s="31">
        <v>65315</v>
      </c>
    </row>
    <row r="14" spans="1:2">
      <c r="A14" s="32" t="s">
        <v>178</v>
      </c>
      <c r="B14" s="31">
        <v>138561.5</v>
      </c>
    </row>
    <row r="15" spans="1:2">
      <c r="A15" s="32" t="s">
        <v>179</v>
      </c>
      <c r="B15" s="31">
        <v>141229.4</v>
      </c>
    </row>
    <row r="16" spans="1:2">
      <c r="A16" s="32" t="s">
        <v>10</v>
      </c>
      <c r="B16" s="31">
        <v>305432.40000000002</v>
      </c>
    </row>
    <row r="17" spans="1:2">
      <c r="A17" s="32" t="s">
        <v>192</v>
      </c>
      <c r="B17" s="31">
        <v>177713.9</v>
      </c>
    </row>
    <row r="18" spans="1:2">
      <c r="A18" s="32" t="s">
        <v>183</v>
      </c>
      <c r="B18" s="31">
        <v>65964.899999999994</v>
      </c>
    </row>
    <row r="19" spans="1:2">
      <c r="A19" s="32" t="s">
        <v>176</v>
      </c>
      <c r="B19" s="31">
        <v>130601.59999999999</v>
      </c>
    </row>
    <row r="20" spans="1:2">
      <c r="A20" s="32" t="s">
        <v>174</v>
      </c>
      <c r="B20" s="31">
        <v>19341.7</v>
      </c>
    </row>
    <row r="21" spans="1:2">
      <c r="A21" s="32" t="s">
        <v>139</v>
      </c>
      <c r="B21" s="31">
        <v>2335987.2999999998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D4CE-F3C9-435F-9F7C-BA32EDCE6D9C}">
  <dimension ref="A1:N69"/>
  <sheetViews>
    <sheetView topLeftCell="H1" workbookViewId="0">
      <selection activeCell="N12" sqref="N12"/>
    </sheetView>
  </sheetViews>
  <sheetFormatPr defaultRowHeight="14.5"/>
  <cols>
    <col min="1" max="1" width="16.81640625" customWidth="1"/>
    <col min="2" max="2" width="7.453125" customWidth="1"/>
    <col min="3" max="3" width="14.08984375" customWidth="1"/>
    <col min="5" max="6" width="12.26953125" customWidth="1"/>
    <col min="7" max="7" width="6.90625" customWidth="1"/>
    <col min="8" max="8" width="12.7265625" style="28" customWidth="1"/>
    <col min="9" max="9" width="11.7265625" style="28" customWidth="1"/>
    <col min="10" max="10" width="11.36328125" customWidth="1"/>
    <col min="11" max="11" width="11.453125" customWidth="1"/>
    <col min="12" max="12" width="15" style="28" customWidth="1"/>
    <col min="13" max="13" width="11.26953125" customWidth="1"/>
    <col min="14" max="14" width="17.08984375" customWidth="1"/>
  </cols>
  <sheetData>
    <row r="1" spans="1:14" ht="29">
      <c r="A1" s="30" t="s">
        <v>142</v>
      </c>
      <c r="B1" s="30" t="s">
        <v>143</v>
      </c>
      <c r="C1" s="30" t="s">
        <v>144</v>
      </c>
      <c r="D1" s="30" t="s">
        <v>145</v>
      </c>
      <c r="E1" s="30" t="s">
        <v>146</v>
      </c>
      <c r="F1" s="30" t="s">
        <v>147</v>
      </c>
      <c r="G1" s="30" t="s">
        <v>148</v>
      </c>
      <c r="H1" s="29" t="s">
        <v>149</v>
      </c>
      <c r="I1" s="29" t="s">
        <v>150</v>
      </c>
      <c r="J1" s="30" t="s">
        <v>151</v>
      </c>
      <c r="K1" s="30" t="s">
        <v>152</v>
      </c>
      <c r="L1" s="29" t="s">
        <v>153</v>
      </c>
      <c r="M1" s="30" t="s">
        <v>154</v>
      </c>
      <c r="N1" s="30" t="s">
        <v>155</v>
      </c>
    </row>
    <row r="2" spans="1:14">
      <c r="A2" t="s">
        <v>189</v>
      </c>
      <c r="B2" t="str">
        <f>LEFT(A2,2)</f>
        <v>TY</v>
      </c>
      <c r="C2" t="str">
        <f>LOOKUP(B2,$B$59:$B$64,$C$59:$C$64)</f>
        <v>Toyota</v>
      </c>
      <c r="D2" t="str">
        <f>MID(A2,5,3)</f>
        <v>CAM</v>
      </c>
      <c r="E2" t="str">
        <f>VLOOKUP(D2,D$59:E$69,2)</f>
        <v>Camry</v>
      </c>
      <c r="F2" t="str">
        <f>MID(A2,3,2)</f>
        <v>96</v>
      </c>
      <c r="G2">
        <f>IF(24-F2&lt;0,100-F2+24,24-F2)</f>
        <v>28</v>
      </c>
      <c r="H2" s="28">
        <v>114660.6</v>
      </c>
      <c r="I2" s="28">
        <f>IF(G2=0,H2,H2/G2)</f>
        <v>4095.0214285714287</v>
      </c>
      <c r="J2" t="s">
        <v>162</v>
      </c>
      <c r="K2" t="s">
        <v>190</v>
      </c>
      <c r="L2" s="28">
        <v>100000</v>
      </c>
      <c r="M2" t="str">
        <f>IF(H2&lt;=L2,"Y","Not Covered")</f>
        <v>Not Covered</v>
      </c>
      <c r="N2" t="str">
        <f>_xlfn.CONCAT(LEFT(A2,7),UPPER(LEFT(J2,3)),RIGHT(A2,3))</f>
        <v>TY96CAMGRE020</v>
      </c>
    </row>
    <row r="3" spans="1:14">
      <c r="A3" t="s">
        <v>218</v>
      </c>
      <c r="B3" t="str">
        <f>LEFT(A3,2)</f>
        <v>CR</v>
      </c>
      <c r="C3" t="str">
        <f>LOOKUP(B3,$B$59:$B$64,$C$59:$C$64)</f>
        <v>Chrysler</v>
      </c>
      <c r="D3" t="str">
        <f>MID(A3,5,3)</f>
        <v>CAR</v>
      </c>
      <c r="E3" t="str">
        <f>VLOOKUP(D3,D$59:E$69,2)</f>
        <v>Caravan</v>
      </c>
      <c r="F3" t="str">
        <f>MID(A3,3,2)</f>
        <v>04</v>
      </c>
      <c r="G3">
        <f>IF(24-F3&lt;0,100-F3+24,24-F3)</f>
        <v>20</v>
      </c>
      <c r="H3" s="28">
        <v>72527.199999999997</v>
      </c>
      <c r="I3" s="28">
        <f>IF(G3=0,H3,H3/G3)</f>
        <v>3626.3599999999997</v>
      </c>
      <c r="J3" t="s">
        <v>159</v>
      </c>
      <c r="K3" t="s">
        <v>181</v>
      </c>
      <c r="L3" s="28">
        <v>75000</v>
      </c>
      <c r="M3" t="str">
        <f>IF(H3&lt;=L3,"Y","Not Covered")</f>
        <v>Y</v>
      </c>
      <c r="N3" t="str">
        <f>_xlfn.CONCAT(LEFT(A3,7),UPPER(LEFT(J3,3)),RIGHT(A3,3))</f>
        <v>CR04CARWHI047</v>
      </c>
    </row>
    <row r="4" spans="1:14">
      <c r="A4" t="s">
        <v>191</v>
      </c>
      <c r="B4" t="str">
        <f>LEFT(A4,2)</f>
        <v>TY</v>
      </c>
      <c r="C4" t="str">
        <f>LOOKUP(B4,$B$59:$B$64,$C$59:$C$64)</f>
        <v>Toyota</v>
      </c>
      <c r="D4" t="str">
        <f>MID(A4,5,3)</f>
        <v>CAM</v>
      </c>
      <c r="E4" t="str">
        <f>VLOOKUP(D4,D$59:E$69,2)</f>
        <v>Camry</v>
      </c>
      <c r="F4" t="str">
        <f>MID(A4,3,2)</f>
        <v>98</v>
      </c>
      <c r="G4">
        <f>IF(24-F4&lt;0,100-F4+24,24-F4)</f>
        <v>26</v>
      </c>
      <c r="H4" s="28">
        <v>93382.6</v>
      </c>
      <c r="I4" s="28">
        <f>IF(G4=0,H4,H4/G4)</f>
        <v>3591.6384615384618</v>
      </c>
      <c r="J4" t="s">
        <v>157</v>
      </c>
      <c r="K4" t="s">
        <v>192</v>
      </c>
      <c r="L4" s="28">
        <v>100000</v>
      </c>
      <c r="M4" t="str">
        <f>IF(H4&lt;=L4,"Y","Not Covered")</f>
        <v>Y</v>
      </c>
      <c r="N4" t="str">
        <f>_xlfn.CONCAT(LEFT(A4,7),UPPER(LEFT(J4,3)),RIGHT(A4,3))</f>
        <v>TY98CAMBLA021</v>
      </c>
    </row>
    <row r="5" spans="1:14">
      <c r="A5" t="s">
        <v>193</v>
      </c>
      <c r="B5" t="str">
        <f>LEFT(A5,2)</f>
        <v>TY</v>
      </c>
      <c r="C5" t="str">
        <f>LOOKUP(B5,$B$59:$B$64,$C$59:$C$64)</f>
        <v>Toyota</v>
      </c>
      <c r="D5" t="str">
        <f>MID(A5,5,3)</f>
        <v>CAM</v>
      </c>
      <c r="E5" t="str">
        <f>VLOOKUP(D5,D$59:E$69,2)</f>
        <v>Camry</v>
      </c>
      <c r="F5" t="str">
        <f>MID(A5,3,2)</f>
        <v>00</v>
      </c>
      <c r="G5">
        <f>IF(24-F5&lt;0,100-F5+24,24-F5)</f>
        <v>24</v>
      </c>
      <c r="H5" s="28">
        <v>85928</v>
      </c>
      <c r="I5" s="28">
        <f>IF(G5=0,H5,H5/G5)</f>
        <v>3580.3333333333335</v>
      </c>
      <c r="J5" t="s">
        <v>162</v>
      </c>
      <c r="K5" t="s">
        <v>167</v>
      </c>
      <c r="L5" s="28">
        <v>100000</v>
      </c>
      <c r="M5" t="str">
        <f>IF(H5&lt;=L5,"Y","Not Covered")</f>
        <v>Y</v>
      </c>
      <c r="N5" t="str">
        <f>_xlfn.CONCAT(LEFT(A5,7),UPPER(LEFT(J5,3)),RIGHT(A5,3))</f>
        <v>TY00CAMGRE022</v>
      </c>
    </row>
    <row r="6" spans="1:14">
      <c r="A6" t="s">
        <v>199</v>
      </c>
      <c r="B6" t="str">
        <f>LEFT(A6,2)</f>
        <v>TY</v>
      </c>
      <c r="C6" t="str">
        <f>LOOKUP(B6,$B$59:$B$64,$C$59:$C$64)</f>
        <v>Toyota</v>
      </c>
      <c r="D6" t="str">
        <f>MID(A6,5,3)</f>
        <v>COR</v>
      </c>
      <c r="E6" t="str">
        <f>VLOOKUP(D6,D$59:E$69,2)</f>
        <v>Corolla</v>
      </c>
      <c r="F6" t="str">
        <f>MID(A6,3,2)</f>
        <v>03</v>
      </c>
      <c r="G6">
        <f>IF(24-F6&lt;0,100-F6+24,24-F6)</f>
        <v>21</v>
      </c>
      <c r="H6" s="28">
        <v>73444.399999999994</v>
      </c>
      <c r="I6" s="28">
        <f>IF(G6=0,H6,H6/G6)</f>
        <v>3497.3523809523808</v>
      </c>
      <c r="J6" t="s">
        <v>157</v>
      </c>
      <c r="K6" t="s">
        <v>198</v>
      </c>
      <c r="L6" s="28">
        <v>100000</v>
      </c>
      <c r="M6" t="str">
        <f>IF(H6&lt;=L6,"Y","Not Covered")</f>
        <v>Y</v>
      </c>
      <c r="N6" t="str">
        <f>_xlfn.CONCAT(LEFT(A6,7),UPPER(LEFT(J6,3)),RIGHT(A6,3))</f>
        <v>TY03CORBLA026</v>
      </c>
    </row>
    <row r="7" spans="1:14">
      <c r="A7" t="s">
        <v>187</v>
      </c>
      <c r="B7" t="str">
        <f>LEFT(A7,2)</f>
        <v>GM</v>
      </c>
      <c r="C7" t="str">
        <f>LOOKUP(B7,$B$59:$B$64,$C$59:$C$64)</f>
        <v>General Motors</v>
      </c>
      <c r="D7" t="str">
        <f>MID(A7,5,3)</f>
        <v>SLV</v>
      </c>
      <c r="E7" t="str">
        <f>VLOOKUP(D7,D$59:E$69,2)</f>
        <v>Silverado</v>
      </c>
      <c r="F7" t="str">
        <f>MID(A7,3,2)</f>
        <v>00</v>
      </c>
      <c r="G7">
        <f>IF(24-F7&lt;0,100-F7+24,24-F7)</f>
        <v>24</v>
      </c>
      <c r="H7" s="28">
        <v>80685.8</v>
      </c>
      <c r="I7" s="28">
        <f>IF(G7=0,H7,H7/G7)</f>
        <v>3361.9083333333333</v>
      </c>
      <c r="J7" t="s">
        <v>188</v>
      </c>
      <c r="K7" t="s">
        <v>176</v>
      </c>
      <c r="L7" s="28">
        <v>100000</v>
      </c>
      <c r="M7" t="str">
        <f>IF(H7&lt;=L7,"Y","Not Covered")</f>
        <v>Y</v>
      </c>
      <c r="N7" t="str">
        <f>_xlfn.CONCAT(LEFT(A7,7),UPPER(LEFT(J7,3)),RIGHT(A7,3))</f>
        <v>GM00SLVBLU019</v>
      </c>
    </row>
    <row r="8" spans="1:14">
      <c r="A8" t="s">
        <v>203</v>
      </c>
      <c r="B8" t="str">
        <f>LEFT(A8,2)</f>
        <v>HO</v>
      </c>
      <c r="C8" t="str">
        <f>LOOKUP(B8,$B$59:$B$64,$C$59:$C$64)</f>
        <v>Honda</v>
      </c>
      <c r="D8" t="str">
        <f>MID(A8,5,3)</f>
        <v>CIV</v>
      </c>
      <c r="E8" t="str">
        <f>VLOOKUP(D8,D$59:E$69,2)</f>
        <v>Civic</v>
      </c>
      <c r="F8" t="str">
        <f>MID(A8,3,2)</f>
        <v>99</v>
      </c>
      <c r="G8">
        <f>IF(24-F8&lt;0,100-F8+24,24-F8)</f>
        <v>25</v>
      </c>
      <c r="H8" s="28">
        <v>82374</v>
      </c>
      <c r="I8" s="28">
        <f>IF(G8=0,H8,H8/G8)</f>
        <v>3294.96</v>
      </c>
      <c r="J8" t="s">
        <v>159</v>
      </c>
      <c r="K8" t="s">
        <v>178</v>
      </c>
      <c r="L8" s="28">
        <v>75000</v>
      </c>
      <c r="M8" t="str">
        <f>IF(H8&lt;=L8,"Y","Not Covered")</f>
        <v>Not Covered</v>
      </c>
      <c r="N8" t="str">
        <f>_xlfn.CONCAT(LEFT(A8,7),UPPER(LEFT(J8,3)),RIGHT(A8,3))</f>
        <v>HO99CIVWHI030</v>
      </c>
    </row>
    <row r="9" spans="1:14">
      <c r="A9" t="s">
        <v>213</v>
      </c>
      <c r="B9" t="str">
        <f>LEFT(A9,2)</f>
        <v>CR</v>
      </c>
      <c r="C9" t="str">
        <f>LOOKUP(B9,$B$59:$B$64,$C$59:$C$64)</f>
        <v>Chrysler</v>
      </c>
      <c r="D9" t="str">
        <f>MID(A9,5,3)</f>
        <v>PTC</v>
      </c>
      <c r="E9" t="str">
        <f>VLOOKUP(D9,D$59:E$69,2)</f>
        <v>PT Cruiser</v>
      </c>
      <c r="F9" t="str">
        <f>MID(A9,3,2)</f>
        <v>04</v>
      </c>
      <c r="G9">
        <f>IF(24-F9&lt;0,100-F9+24,24-F9)</f>
        <v>20</v>
      </c>
      <c r="H9" s="28">
        <v>64542</v>
      </c>
      <c r="I9" s="28">
        <f>IF(G9=0,H9,H9/G9)</f>
        <v>3227.1</v>
      </c>
      <c r="J9" t="s">
        <v>188</v>
      </c>
      <c r="K9" t="s">
        <v>10</v>
      </c>
      <c r="L9" s="28">
        <v>75000</v>
      </c>
      <c r="M9" t="str">
        <f>IF(H9&lt;=L9,"Y","Not Covered")</f>
        <v>Y</v>
      </c>
      <c r="N9" t="str">
        <f>_xlfn.CONCAT(LEFT(A9,7),UPPER(LEFT(J9,3)),RIGHT(A9,3))</f>
        <v>CR04PTCBLU042</v>
      </c>
    </row>
    <row r="10" spans="1:14">
      <c r="A10" t="s">
        <v>217</v>
      </c>
      <c r="B10" t="str">
        <f>LEFT(A10,2)</f>
        <v>CR</v>
      </c>
      <c r="C10" t="str">
        <f>LOOKUP(B10,$B$59:$B$64,$C$59:$C$64)</f>
        <v>Chrysler</v>
      </c>
      <c r="D10" t="str">
        <f>MID(A10,5,3)</f>
        <v>CAR</v>
      </c>
      <c r="E10" t="str">
        <f>VLOOKUP(D10,D$59:E$69,2)</f>
        <v>Caravan</v>
      </c>
      <c r="F10" t="str">
        <f>MID(A10,3,2)</f>
        <v>00</v>
      </c>
      <c r="G10">
        <f>IF(24-F10&lt;0,100-F10+24,24-F10)</f>
        <v>24</v>
      </c>
      <c r="H10" s="28">
        <v>77243.100000000006</v>
      </c>
      <c r="I10" s="28">
        <f>IF(G10=0,H10,H10/G10)</f>
        <v>3218.4625000000001</v>
      </c>
      <c r="J10" t="s">
        <v>157</v>
      </c>
      <c r="K10" t="s">
        <v>165</v>
      </c>
      <c r="L10" s="28">
        <v>75000</v>
      </c>
      <c r="M10" t="str">
        <f>IF(H10&lt;=L10,"Y","Not Covered")</f>
        <v>Not Covered</v>
      </c>
      <c r="N10" t="str">
        <f>_xlfn.CONCAT(LEFT(A10,7),UPPER(LEFT(J10,3)),RIGHT(A10,3))</f>
        <v>CR00CARBLA046</v>
      </c>
    </row>
    <row r="11" spans="1:14">
      <c r="A11" t="s">
        <v>195</v>
      </c>
      <c r="B11" t="str">
        <f>LEFT(A11,2)</f>
        <v>TY</v>
      </c>
      <c r="C11" t="str">
        <f>LOOKUP(B11,$B$59:$B$64,$C$59:$C$64)</f>
        <v>Toyota</v>
      </c>
      <c r="D11" t="str">
        <f>MID(A11,5,3)</f>
        <v>CAM</v>
      </c>
      <c r="E11" t="str">
        <f>VLOOKUP(D11,D$59:E$69,2)</f>
        <v>Camry</v>
      </c>
      <c r="F11" t="str">
        <f>MID(A11,3,2)</f>
        <v>09</v>
      </c>
      <c r="G11">
        <f>IF(24-F11&lt;0,100-F11+24,24-F11)</f>
        <v>15</v>
      </c>
      <c r="H11" s="28">
        <v>48114.2</v>
      </c>
      <c r="I11" s="28">
        <f>IF(G11=0,H11,H11/G11)</f>
        <v>3207.6133333333332</v>
      </c>
      <c r="J11" t="s">
        <v>159</v>
      </c>
      <c r="K11" t="s">
        <v>7</v>
      </c>
      <c r="L11" s="28">
        <v>100000</v>
      </c>
      <c r="M11" t="str">
        <f>IF(H11&lt;=L11,"Y","Not Covered")</f>
        <v>Y</v>
      </c>
      <c r="N11" t="str">
        <f>_xlfn.CONCAT(LEFT(A11,7),UPPER(LEFT(J11,3)),RIGHT(A11,3))</f>
        <v>TY09CAMWHI024</v>
      </c>
    </row>
    <row r="12" spans="1:14">
      <c r="A12" t="s">
        <v>186</v>
      </c>
      <c r="B12" t="str">
        <f>LEFT(A12,2)</f>
        <v>GM</v>
      </c>
      <c r="C12" t="str">
        <f>LOOKUP(B12,$B$59:$B$64,$C$59:$C$64)</f>
        <v>General Motors</v>
      </c>
      <c r="D12" t="str">
        <f>MID(A12,5,3)</f>
        <v>SLV</v>
      </c>
      <c r="E12" t="str">
        <f>VLOOKUP(D12,D$59:E$69,2)</f>
        <v>Silverado</v>
      </c>
      <c r="F12" t="str">
        <f>MID(A12,3,2)</f>
        <v>98</v>
      </c>
      <c r="G12">
        <f>IF(24-F12&lt;0,100-F12+24,24-F12)</f>
        <v>26</v>
      </c>
      <c r="H12" s="28">
        <v>83162.7</v>
      </c>
      <c r="I12" s="28">
        <f>IF(G12=0,H12,H12/G12)</f>
        <v>3198.5653846153846</v>
      </c>
      <c r="J12" t="s">
        <v>157</v>
      </c>
      <c r="K12" t="s">
        <v>179</v>
      </c>
      <c r="L12" s="28">
        <v>100000</v>
      </c>
      <c r="M12" t="str">
        <f>IF(H12&lt;=L12,"Y","Not Covered")</f>
        <v>Y</v>
      </c>
      <c r="N12" t="str">
        <f>_xlfn.CONCAT(LEFT(A12,7),UPPER(LEFT(J12,3)),RIGHT(A12,3))</f>
        <v>GM98SLVBLA018</v>
      </c>
    </row>
    <row r="13" spans="1:14">
      <c r="A13" t="s">
        <v>261</v>
      </c>
      <c r="B13" t="str">
        <f>LEFT(A13,2)</f>
        <v>HO</v>
      </c>
      <c r="C13" t="str">
        <f>LOOKUP(B13,$B$59:$B$64,$C$59:$C$64)</f>
        <v>Honda</v>
      </c>
      <c r="D13" t="str">
        <f>MID(A13,5,3)</f>
        <v>ODY</v>
      </c>
      <c r="E13" t="str">
        <f>VLOOKUP(D13,D$59:E$69,2)</f>
        <v>Odyssey</v>
      </c>
      <c r="F13" t="str">
        <f>MID(A13,3,2)</f>
        <v>05</v>
      </c>
      <c r="G13">
        <f>IF(24-F13&lt;0,100-F13+24,24-F13)</f>
        <v>19</v>
      </c>
      <c r="H13" s="28">
        <v>60389.5</v>
      </c>
      <c r="I13" s="28">
        <f>IF(G13=0,H13,H13/G13)</f>
        <v>3178.3947368421054</v>
      </c>
      <c r="J13" t="s">
        <v>159</v>
      </c>
      <c r="K13" t="s">
        <v>7</v>
      </c>
      <c r="L13" s="28">
        <v>100000</v>
      </c>
      <c r="M13" t="str">
        <f>IF(H13&lt;=L13,"Y","Not Covered")</f>
        <v>Y</v>
      </c>
      <c r="N13" t="str">
        <f>_xlfn.CONCAT(LEFT(A13,7),UPPER(LEFT(J13,3)),RIGHT(A13,3))</f>
        <v>HO05ODYWHI037</v>
      </c>
    </row>
    <row r="14" spans="1:14">
      <c r="A14" t="s">
        <v>216</v>
      </c>
      <c r="B14" t="str">
        <f>LEFT(A14,2)</f>
        <v>CR</v>
      </c>
      <c r="C14" t="str">
        <f>LOOKUP(B14,$B$59:$B$64,$C$59:$C$64)</f>
        <v>Chrysler</v>
      </c>
      <c r="D14" t="str">
        <f>MID(A14,5,3)</f>
        <v>CAR</v>
      </c>
      <c r="E14" t="str">
        <f>VLOOKUP(D14,D$59:E$69,2)</f>
        <v>Caravan</v>
      </c>
      <c r="F14" t="str">
        <f>MID(A14,3,2)</f>
        <v>99</v>
      </c>
      <c r="G14">
        <f>IF(24-F14&lt;0,100-F14+24,24-F14)</f>
        <v>25</v>
      </c>
      <c r="H14" s="28">
        <v>79420.600000000006</v>
      </c>
      <c r="I14" s="28">
        <f>IF(G14=0,H14,H14/G14)</f>
        <v>3176.8240000000001</v>
      </c>
      <c r="J14" t="s">
        <v>162</v>
      </c>
      <c r="K14" t="s">
        <v>185</v>
      </c>
      <c r="L14" s="28">
        <v>75000</v>
      </c>
      <c r="M14" t="str">
        <f>IF(H14&lt;=L14,"Y","Not Covered")</f>
        <v>Not Covered</v>
      </c>
      <c r="N14" t="str">
        <f>_xlfn.CONCAT(LEFT(A14,7),UPPER(LEFT(J14,3)),RIGHT(A14,3))</f>
        <v>CR99CARGRE045</v>
      </c>
    </row>
    <row r="15" spans="1:14">
      <c r="A15" t="s">
        <v>194</v>
      </c>
      <c r="B15" t="str">
        <f>LEFT(A15,2)</f>
        <v>TY</v>
      </c>
      <c r="C15" t="str">
        <f>LOOKUP(B15,$B$59:$B$64,$C$59:$C$64)</f>
        <v>Toyota</v>
      </c>
      <c r="D15" t="str">
        <f>MID(A15,5,3)</f>
        <v>CAM</v>
      </c>
      <c r="E15" t="str">
        <f>VLOOKUP(D15,D$59:E$69,2)</f>
        <v>Camry</v>
      </c>
      <c r="F15" t="str">
        <f>MID(A15,3,2)</f>
        <v>02</v>
      </c>
      <c r="G15">
        <f>IF(24-F15&lt;0,100-F15+24,24-F15)</f>
        <v>22</v>
      </c>
      <c r="H15" s="28">
        <v>67829.100000000006</v>
      </c>
      <c r="I15" s="28">
        <f>IF(G15=0,H15,H15/G15)</f>
        <v>3083.1409090909092</v>
      </c>
      <c r="J15" t="s">
        <v>157</v>
      </c>
      <c r="K15" t="s">
        <v>10</v>
      </c>
      <c r="L15" s="28">
        <v>100000</v>
      </c>
      <c r="M15" t="str">
        <f>IF(H15&lt;=L15,"Y","Not Covered")</f>
        <v>Y</v>
      </c>
      <c r="N15" t="str">
        <f>_xlfn.CONCAT(LEFT(A15,7),UPPER(LEFT(J15,3)),RIGHT(A15,3))</f>
        <v>TY02CAMBLA023</v>
      </c>
    </row>
    <row r="16" spans="1:14">
      <c r="A16" t="s">
        <v>204</v>
      </c>
      <c r="B16" t="str">
        <f>LEFT(A16,2)</f>
        <v>HO</v>
      </c>
      <c r="C16" t="str">
        <f>LOOKUP(B16,$B$59:$B$64,$C$59:$C$64)</f>
        <v>Honda</v>
      </c>
      <c r="D16" t="str">
        <f>MID(A16,5,3)</f>
        <v>CIV</v>
      </c>
      <c r="E16" t="str">
        <f>VLOOKUP(D16,D$59:E$69,2)</f>
        <v>Civic</v>
      </c>
      <c r="F16" t="str">
        <f>MID(A16,3,2)</f>
        <v>01</v>
      </c>
      <c r="G16">
        <f>IF(24-F16&lt;0,100-F16+24,24-F16)</f>
        <v>23</v>
      </c>
      <c r="H16" s="28">
        <v>69891.899999999994</v>
      </c>
      <c r="I16" s="28">
        <f>IF(G16=0,H16,H16/G16)</f>
        <v>3038.7782608695647</v>
      </c>
      <c r="J16" t="s">
        <v>188</v>
      </c>
      <c r="K16" t="s">
        <v>165</v>
      </c>
      <c r="L16" s="28">
        <v>75000</v>
      </c>
      <c r="M16" t="str">
        <f>IF(H16&lt;=L16,"Y","Not Covered")</f>
        <v>Y</v>
      </c>
      <c r="N16" t="str">
        <f>_xlfn.CONCAT(LEFT(A16,7),UPPER(LEFT(J16,3)),RIGHT(A16,3))</f>
        <v>HO01CIVBLU031</v>
      </c>
    </row>
    <row r="17" spans="1:14">
      <c r="A17" t="s">
        <v>210</v>
      </c>
      <c r="B17" t="str">
        <f>LEFT(A17,2)</f>
        <v>HO</v>
      </c>
      <c r="C17" t="str">
        <f>LOOKUP(B17,$B$59:$B$64,$C$59:$C$64)</f>
        <v>Honda</v>
      </c>
      <c r="D17" t="str">
        <f>MID(A17,5,3)</f>
        <v>ODY</v>
      </c>
      <c r="E17" t="str">
        <f>VLOOKUP(D17,D$59:E$69,2)</f>
        <v>Odyssey</v>
      </c>
      <c r="F17" t="str">
        <f>MID(A17,3,2)</f>
        <v>07</v>
      </c>
      <c r="G17">
        <f>IF(24-F17&lt;0,100-F17+24,24-F17)</f>
        <v>17</v>
      </c>
      <c r="H17" s="28">
        <v>50854.1</v>
      </c>
      <c r="I17" s="28">
        <f>IF(G17=0,H17,H17/G17)</f>
        <v>2991.4176470588236</v>
      </c>
      <c r="J17" t="s">
        <v>157</v>
      </c>
      <c r="K17" t="s">
        <v>192</v>
      </c>
      <c r="L17" s="28">
        <v>100000</v>
      </c>
      <c r="M17" t="str">
        <f>IF(H17&lt;=L17,"Y","Not Covered")</f>
        <v>Y</v>
      </c>
      <c r="N17" t="str">
        <f>_xlfn.CONCAT(LEFT(A17,7),UPPER(LEFT(J17,3)),RIGHT(A17,3))</f>
        <v>HO07ODYBLA038</v>
      </c>
    </row>
    <row r="18" spans="1:14">
      <c r="A18" t="s">
        <v>258</v>
      </c>
      <c r="B18" t="str">
        <f>LEFT(A18,2)</f>
        <v>HO</v>
      </c>
      <c r="C18" t="str">
        <f>LOOKUP(B18,$B$59:$B$64,$C$59:$C$64)</f>
        <v>Honda</v>
      </c>
      <c r="D18" t="str">
        <f>MID(A18,5,3)</f>
        <v>ODY</v>
      </c>
      <c r="E18" t="str">
        <f>VLOOKUP(D18,D$59:E$69,2)</f>
        <v>Odyssey</v>
      </c>
      <c r="F18" t="str">
        <f>MID(A18,3,2)</f>
        <v>01</v>
      </c>
      <c r="G18">
        <f>IF(24-F18&lt;0,100-F18+24,24-F18)</f>
        <v>23</v>
      </c>
      <c r="H18" s="28">
        <v>68658.899999999994</v>
      </c>
      <c r="I18" s="28">
        <f>IF(G18=0,H18,H18/G18)</f>
        <v>2985.1695652173912</v>
      </c>
      <c r="J18" t="s">
        <v>157</v>
      </c>
      <c r="K18" t="s">
        <v>10</v>
      </c>
      <c r="L18" s="28">
        <v>100000</v>
      </c>
      <c r="M18" t="str">
        <f>IF(H18&lt;=L18,"Y","Not Covered")</f>
        <v>Y</v>
      </c>
      <c r="N18" t="str">
        <f>_xlfn.CONCAT(LEFT(A18,7),UPPER(LEFT(J18,3)),RIGHT(A18,3))</f>
        <v>HO01ODYBLA040</v>
      </c>
    </row>
    <row r="19" spans="1:14">
      <c r="A19" t="s">
        <v>196</v>
      </c>
      <c r="B19" t="str">
        <f>LEFT(A19,2)</f>
        <v>TY</v>
      </c>
      <c r="C19" t="str">
        <f>LOOKUP(B19,$B$59:$B$64,$C$59:$C$64)</f>
        <v>Toyota</v>
      </c>
      <c r="D19" t="str">
        <f>MID(A19,5,3)</f>
        <v>COR</v>
      </c>
      <c r="E19" t="str">
        <f>VLOOKUP(D19,D$59:E$69,2)</f>
        <v>Corolla</v>
      </c>
      <c r="F19" t="str">
        <f>MID(A19,3,2)</f>
        <v>02</v>
      </c>
      <c r="G19">
        <f>IF(24-F19&lt;0,100-F19+24,24-F19)</f>
        <v>22</v>
      </c>
      <c r="H19" s="28">
        <v>64467.4</v>
      </c>
      <c r="I19" s="28">
        <f>IF(G19=0,H19,H19/G19)</f>
        <v>2930.3363636363638</v>
      </c>
      <c r="J19" t="s">
        <v>197</v>
      </c>
      <c r="K19" t="s">
        <v>198</v>
      </c>
      <c r="L19" s="28">
        <v>100000</v>
      </c>
      <c r="M19" t="str">
        <f>IF(H19&lt;=L19,"Y","Not Covered")</f>
        <v>Y</v>
      </c>
      <c r="N19" t="str">
        <f>_xlfn.CONCAT(LEFT(A19,7),UPPER(LEFT(J19,3)),RIGHT(A19,3))</f>
        <v>TY02CORRED025</v>
      </c>
    </row>
    <row r="20" spans="1:14">
      <c r="A20" t="s">
        <v>168</v>
      </c>
      <c r="B20" t="str">
        <f>LEFT(A20,2)</f>
        <v>FD</v>
      </c>
      <c r="C20" t="str">
        <f>LOOKUP(B20,$B$59:$B$64,$C$59:$C$64)</f>
        <v>Ford</v>
      </c>
      <c r="D20" t="str">
        <f>MID(A20,5,3)</f>
        <v>FCS</v>
      </c>
      <c r="E20" t="str">
        <f>VLOOKUP(D20,D$59:E$69,2)</f>
        <v>Focus</v>
      </c>
      <c r="F20" t="str">
        <f>MID(A20,3,2)</f>
        <v>06</v>
      </c>
      <c r="G20">
        <f>IF(24-F20&lt;0,100-F20+24,24-F20)</f>
        <v>18</v>
      </c>
      <c r="H20" s="28">
        <v>52229.5</v>
      </c>
      <c r="I20" s="28">
        <f>IF(G20=0,H20,H20/G20)</f>
        <v>2901.6388888888887</v>
      </c>
      <c r="J20" t="s">
        <v>162</v>
      </c>
      <c r="K20" t="s">
        <v>163</v>
      </c>
      <c r="L20" s="28">
        <v>75000</v>
      </c>
      <c r="M20" t="str">
        <f>IF(H20&lt;=L20,"Y","Not Covered")</f>
        <v>Y</v>
      </c>
      <c r="N20" t="str">
        <f>_xlfn.CONCAT(LEFT(A20,7),UPPER(LEFT(J20,3)),RIGHT(A20,3))</f>
        <v>FD06FCSGRE007</v>
      </c>
    </row>
    <row r="21" spans="1:14">
      <c r="A21" t="s">
        <v>161</v>
      </c>
      <c r="B21" t="str">
        <f>LEFT(A21,2)</f>
        <v>FD</v>
      </c>
      <c r="C21" t="str">
        <f>LOOKUP(B21,$B$59:$B$64,$C$59:$C$64)</f>
        <v>Ford</v>
      </c>
      <c r="D21" t="str">
        <f>MID(A21,5,3)</f>
        <v>MTG</v>
      </c>
      <c r="E21" t="str">
        <f>VLOOKUP(D21,D$59:E$69,2)</f>
        <v>Mustang</v>
      </c>
      <c r="F21" t="str">
        <f>MID(A21,3,2)</f>
        <v>08</v>
      </c>
      <c r="G21">
        <f>IF(24-F21&lt;0,100-F21+24,24-F21)</f>
        <v>16</v>
      </c>
      <c r="H21" s="28">
        <v>44946.5</v>
      </c>
      <c r="I21" s="28">
        <f>IF(G21=0,H21,H21/G21)</f>
        <v>2809.15625</v>
      </c>
      <c r="J21" t="s">
        <v>162</v>
      </c>
      <c r="K21" t="s">
        <v>163</v>
      </c>
      <c r="L21" s="28">
        <v>50000</v>
      </c>
      <c r="M21" t="str">
        <f>IF(H21&lt;=L21,"Y","Not Covered")</f>
        <v>Y</v>
      </c>
      <c r="N21" t="str">
        <f>_xlfn.CONCAT(LEFT(A21,7),UPPER(LEFT(J21,3)),RIGHT(A21,3))</f>
        <v>FD08MTGGRE003</v>
      </c>
    </row>
    <row r="22" spans="1:14">
      <c r="A22" t="s">
        <v>211</v>
      </c>
      <c r="B22" t="str">
        <f>LEFT(A22,2)</f>
        <v>HO</v>
      </c>
      <c r="C22" t="str">
        <f>LOOKUP(B22,$B$59:$B$64,$C$59:$C$64)</f>
        <v>Honda</v>
      </c>
      <c r="D22" t="str">
        <f>MID(A22,5,3)</f>
        <v>ODY</v>
      </c>
      <c r="E22" t="str">
        <f>VLOOKUP(D22,D$59:E$69,2)</f>
        <v>Odyssey</v>
      </c>
      <c r="F22" t="str">
        <f>MID(A22,3,2)</f>
        <v>08</v>
      </c>
      <c r="G22">
        <f>IF(24-F22&lt;0,100-F22+24,24-F22)</f>
        <v>16</v>
      </c>
      <c r="H22" s="28">
        <v>42504.6</v>
      </c>
      <c r="I22" s="28">
        <f>IF(G22=0,H22,H22/G22)</f>
        <v>2656.5374999999999</v>
      </c>
      <c r="J22" t="s">
        <v>159</v>
      </c>
      <c r="K22" t="s">
        <v>178</v>
      </c>
      <c r="L22" s="28">
        <v>100000</v>
      </c>
      <c r="M22" t="str">
        <f>IF(H22&lt;=L22,"Y","Not Covered")</f>
        <v>Y</v>
      </c>
      <c r="N22" t="str">
        <f>_xlfn.CONCAT(LEFT(A22,7),UPPER(LEFT(J22,3)),RIGHT(A22,3))</f>
        <v>HO08ODYWHI039</v>
      </c>
    </row>
    <row r="23" spans="1:14">
      <c r="A23" t="s">
        <v>219</v>
      </c>
      <c r="B23" t="str">
        <f>LEFT(A23,2)</f>
        <v>CR</v>
      </c>
      <c r="C23" t="str">
        <f>LOOKUP(B23,$B$59:$B$64,$C$59:$C$64)</f>
        <v>Chrysler</v>
      </c>
      <c r="D23" t="str">
        <f>MID(A23,5,3)</f>
        <v>CAR</v>
      </c>
      <c r="E23" t="str">
        <f>VLOOKUP(D23,D$59:E$69,2)</f>
        <v>Caravan</v>
      </c>
      <c r="F23" t="str">
        <f>MID(A23,3,2)</f>
        <v>04</v>
      </c>
      <c r="G23">
        <f>IF(24-F23&lt;0,100-F23+24,24-F23)</f>
        <v>20</v>
      </c>
      <c r="H23" s="28">
        <v>52699.4</v>
      </c>
      <c r="I23" s="28">
        <f>IF(G23=0,H23,H23/G23)</f>
        <v>2634.9700000000003</v>
      </c>
      <c r="J23" t="s">
        <v>197</v>
      </c>
      <c r="K23" t="s">
        <v>181</v>
      </c>
      <c r="L23" s="28">
        <v>75000</v>
      </c>
      <c r="M23" t="str">
        <f>IF(H23&lt;=L23,"Y","Not Covered")</f>
        <v>Y</v>
      </c>
      <c r="N23" t="str">
        <f>_xlfn.CONCAT(LEFT(A23,7),UPPER(LEFT(J23,3)),RIGHT(A23,3))</f>
        <v>CR04CARRED048</v>
      </c>
    </row>
    <row r="24" spans="1:14">
      <c r="A24" t="s">
        <v>259</v>
      </c>
      <c r="B24" t="str">
        <f>LEFT(A24,2)</f>
        <v>FD</v>
      </c>
      <c r="C24" t="str">
        <f>LOOKUP(B24,$B$59:$B$64,$C$59:$C$64)</f>
        <v>Ford</v>
      </c>
      <c r="D24" t="str">
        <f>MID(A24,5,3)</f>
        <v>FCS</v>
      </c>
      <c r="E24" t="str">
        <f>VLOOKUP(D24,D$59:E$69,2)</f>
        <v>Focus</v>
      </c>
      <c r="F24" t="str">
        <f>MID(A24,3,2)</f>
        <v>06</v>
      </c>
      <c r="G24">
        <f>IF(24-F24&lt;0,100-F24+24,24-F24)</f>
        <v>18</v>
      </c>
      <c r="H24" s="28">
        <v>46311.4</v>
      </c>
      <c r="I24" s="28">
        <f>IF(G24=0,H24,H24/G24)</f>
        <v>2572.8555555555558</v>
      </c>
      <c r="J24" t="s">
        <v>162</v>
      </c>
      <c r="K24" t="s">
        <v>167</v>
      </c>
      <c r="L24" s="28">
        <v>75000</v>
      </c>
      <c r="M24" t="str">
        <f>IF(H24&lt;=L24,"Y","Not Covered")</f>
        <v>Y</v>
      </c>
      <c r="N24" t="str">
        <f>_xlfn.CONCAT(LEFT(A24,7),UPPER(LEFT(J24,3)),RIGHT(A24,3))</f>
        <v>FD06FCSGRE006</v>
      </c>
    </row>
    <row r="25" spans="1:14">
      <c r="A25" t="s">
        <v>170</v>
      </c>
      <c r="B25" t="str">
        <f>LEFT(A25,2)</f>
        <v>FD</v>
      </c>
      <c r="C25" t="str">
        <f>LOOKUP(B25,$B$59:$B$64,$C$59:$C$64)</f>
        <v>Ford</v>
      </c>
      <c r="D25" t="str">
        <f>MID(A25,5,3)</f>
        <v>FCS</v>
      </c>
      <c r="E25" t="str">
        <f>VLOOKUP(D25,D$59:E$69,2)</f>
        <v>Focus</v>
      </c>
      <c r="F25" t="str">
        <f>MID(A25,3,2)</f>
        <v>13</v>
      </c>
      <c r="G25">
        <f>IF(24-F25&lt;0,100-F25+24,24-F25)</f>
        <v>11</v>
      </c>
      <c r="H25" s="28">
        <v>27637.1</v>
      </c>
      <c r="I25" s="28">
        <f>IF(G25=0,H25,H25/G25)</f>
        <v>2512.4636363636364</v>
      </c>
      <c r="J25" t="s">
        <v>157</v>
      </c>
      <c r="K25" t="s">
        <v>10</v>
      </c>
      <c r="L25" s="28">
        <v>75000</v>
      </c>
      <c r="M25" t="str">
        <f>IF(H25&lt;=L25,"Y","Not Covered")</f>
        <v>Y</v>
      </c>
      <c r="N25" t="str">
        <f>_xlfn.CONCAT(LEFT(A25,7),UPPER(LEFT(J25,3)),RIGHT(A25,3))</f>
        <v>FD13FCSBLA009</v>
      </c>
    </row>
    <row r="26" spans="1:14">
      <c r="A26" t="s">
        <v>171</v>
      </c>
      <c r="B26" t="str">
        <f>LEFT(A26,2)</f>
        <v>FD</v>
      </c>
      <c r="C26" t="str">
        <f>LOOKUP(B26,$B$59:$B$64,$C$59:$C$64)</f>
        <v>Ford</v>
      </c>
      <c r="D26" t="str">
        <f>MID(A26,5,3)</f>
        <v>FCS</v>
      </c>
      <c r="E26" t="str">
        <f>VLOOKUP(D26,D$59:E$69,2)</f>
        <v>Focus</v>
      </c>
      <c r="F26" t="str">
        <f>MID(A26,3,2)</f>
        <v>13</v>
      </c>
      <c r="G26">
        <f>IF(24-F26&lt;0,100-F26+24,24-F26)</f>
        <v>11</v>
      </c>
      <c r="H26" s="28">
        <v>27534.799999999999</v>
      </c>
      <c r="I26" s="28">
        <f>IF(G26=0,H26,H26/G26)</f>
        <v>2503.1636363636362</v>
      </c>
      <c r="J26" t="s">
        <v>159</v>
      </c>
      <c r="K26" t="s">
        <v>172</v>
      </c>
      <c r="L26" s="28">
        <v>75000</v>
      </c>
      <c r="M26" t="str">
        <f>IF(H26&lt;=L26,"Y","Not Covered")</f>
        <v>Y</v>
      </c>
      <c r="N26" t="str">
        <f>_xlfn.CONCAT(LEFT(A26,7),UPPER(LEFT(J26,3)),RIGHT(A26,3))</f>
        <v>FD13FCSWHI010</v>
      </c>
    </row>
    <row r="27" spans="1:14">
      <c r="A27" t="s">
        <v>158</v>
      </c>
      <c r="B27" t="str">
        <f>LEFT(A27,2)</f>
        <v>FD</v>
      </c>
      <c r="C27" t="str">
        <f>LOOKUP(B27,$B$59:$B$64,$C$59:$C$64)</f>
        <v>Ford</v>
      </c>
      <c r="D27" t="str">
        <f>MID(A27,5,3)</f>
        <v>MTG</v>
      </c>
      <c r="E27" t="str">
        <f>VLOOKUP(D27,D$59:E$69,2)</f>
        <v>Mustang</v>
      </c>
      <c r="F27" t="str">
        <f>MID(A27,3,2)</f>
        <v>06</v>
      </c>
      <c r="G27">
        <v>18</v>
      </c>
      <c r="H27" s="28">
        <v>44974.8</v>
      </c>
      <c r="I27" s="28">
        <f>IF(G27=0,H27,H27/G27)</f>
        <v>2498.6000000000004</v>
      </c>
      <c r="J27" t="s">
        <v>159</v>
      </c>
      <c r="K27" t="s">
        <v>160</v>
      </c>
      <c r="L27" s="28">
        <v>50000</v>
      </c>
      <c r="M27" t="str">
        <f>IF(H27&lt;=L27,"Y","Not Covered")</f>
        <v>Y</v>
      </c>
      <c r="N27" t="str">
        <f>_xlfn.CONCAT(LEFT(A27,7),UPPER(LEFT(J27,3)),RIGHT(A27,3))</f>
        <v>FD06MTGWHI002</v>
      </c>
    </row>
    <row r="28" spans="1:14">
      <c r="A28" t="s">
        <v>214</v>
      </c>
      <c r="B28" t="str">
        <f>LEFT(A28,2)</f>
        <v>CR</v>
      </c>
      <c r="C28" t="str">
        <f>LOOKUP(B28,$B$59:$B$64,$C$59:$C$64)</f>
        <v>Chrysler</v>
      </c>
      <c r="D28" t="str">
        <f>MID(A28,5,3)</f>
        <v>PTC</v>
      </c>
      <c r="E28" t="str">
        <f>VLOOKUP(D28,D$59:E$69,2)</f>
        <v>PT Cruiser</v>
      </c>
      <c r="F28" t="str">
        <f>MID(A28,3,2)</f>
        <v>07</v>
      </c>
      <c r="G28">
        <f>IF(24-F28&lt;0,100-F28+24,24-F28)</f>
        <v>17</v>
      </c>
      <c r="H28" s="28">
        <v>42074.2</v>
      </c>
      <c r="I28" s="28">
        <f>IF(G28=0,H28,H28/G28)</f>
        <v>2474.9529411764706</v>
      </c>
      <c r="J28" t="s">
        <v>162</v>
      </c>
      <c r="K28" t="s">
        <v>198</v>
      </c>
      <c r="L28" s="28">
        <v>75000</v>
      </c>
      <c r="M28" t="str">
        <f>IF(H28&lt;=L28,"Y","Not Covered")</f>
        <v>Y</v>
      </c>
      <c r="N28" t="str">
        <f>_xlfn.CONCAT(LEFT(A28,7),UPPER(LEFT(J28,3)),RIGHT(A28,3))</f>
        <v>CR07PTCGRE043</v>
      </c>
    </row>
    <row r="29" spans="1:14">
      <c r="A29" t="s">
        <v>201</v>
      </c>
      <c r="B29" t="str">
        <f>LEFT(A29,2)</f>
        <v>TY</v>
      </c>
      <c r="C29" t="str">
        <f>LOOKUP(B29,$B$59:$B$64,$C$59:$C$64)</f>
        <v>Toyota</v>
      </c>
      <c r="D29" t="str">
        <f>MID(A29,5,3)</f>
        <v>COR</v>
      </c>
      <c r="E29" t="str">
        <f>VLOOKUP(D29,D$59:E$69,2)</f>
        <v>Corolla</v>
      </c>
      <c r="F29" t="str">
        <f>MID(A29,3,2)</f>
        <v>12</v>
      </c>
      <c r="G29">
        <f>IF(24-F29&lt;0,100-F29+24,24-F29)</f>
        <v>12</v>
      </c>
      <c r="H29" s="28">
        <v>29601.9</v>
      </c>
      <c r="I29" s="28">
        <f>IF(G29=0,H29,H29/G29)</f>
        <v>2466.8250000000003</v>
      </c>
      <c r="J29" t="s">
        <v>157</v>
      </c>
      <c r="K29" t="s">
        <v>179</v>
      </c>
      <c r="L29" s="28">
        <v>100000</v>
      </c>
      <c r="M29" t="str">
        <f>IF(H29&lt;=L29,"Y","Not Covered")</f>
        <v>Y</v>
      </c>
      <c r="N29" t="str">
        <f>_xlfn.CONCAT(LEFT(A29,7),UPPER(LEFT(J29,3)),RIGHT(A29,3))</f>
        <v>TY12CORBLA028</v>
      </c>
    </row>
    <row r="30" spans="1:14">
      <c r="A30" t="s">
        <v>206</v>
      </c>
      <c r="B30" t="str">
        <f>LEFT(A30,2)</f>
        <v>HO</v>
      </c>
      <c r="C30" t="str">
        <f>LOOKUP(B30,$B$59:$B$64,$C$59:$C$64)</f>
        <v>Honda</v>
      </c>
      <c r="D30" t="str">
        <f>MID(A30,5,3)</f>
        <v>CIV</v>
      </c>
      <c r="E30" t="str">
        <f>VLOOKUP(D30,D$59:E$69,2)</f>
        <v>Civic</v>
      </c>
      <c r="F30" t="str">
        <f>MID(A30,3,2)</f>
        <v>10</v>
      </c>
      <c r="G30">
        <f>IF(24-F30&lt;0,100-F30+24,24-F30)</f>
        <v>14</v>
      </c>
      <c r="H30" s="28">
        <v>33477.199999999997</v>
      </c>
      <c r="I30" s="28">
        <f>IF(G30=0,H30,H30/G30)</f>
        <v>2391.2285714285713</v>
      </c>
      <c r="J30" t="s">
        <v>157</v>
      </c>
      <c r="K30" t="s">
        <v>192</v>
      </c>
      <c r="L30" s="28">
        <v>75000</v>
      </c>
      <c r="M30" t="str">
        <f>IF(H30&lt;=L30,"Y","Not Covered")</f>
        <v>Y</v>
      </c>
      <c r="N30" t="str">
        <f>_xlfn.CONCAT(LEFT(A30,7),UPPER(LEFT(J30,3)),RIGHT(A30,3))</f>
        <v>HO10CIVBLA033</v>
      </c>
    </row>
    <row r="31" spans="1:14">
      <c r="A31" t="s">
        <v>207</v>
      </c>
      <c r="B31" t="str">
        <f>LEFT(A31,2)</f>
        <v>HO</v>
      </c>
      <c r="C31" t="str">
        <f>LOOKUP(B31,$B$59:$B$64,$C$59:$C$64)</f>
        <v>Honda</v>
      </c>
      <c r="D31" t="str">
        <f>MID(A31,5,3)</f>
        <v>CIV</v>
      </c>
      <c r="E31" t="str">
        <f>VLOOKUP(D31,D$59:E$69,2)</f>
        <v>Civic</v>
      </c>
      <c r="F31" t="str">
        <f>MID(A31,3,2)</f>
        <v>11</v>
      </c>
      <c r="G31">
        <f>IF(24-F31&lt;0,100-F31+24,24-F31)</f>
        <v>13</v>
      </c>
      <c r="H31" s="28">
        <v>30555.3</v>
      </c>
      <c r="I31" s="28">
        <f>IF(G31=0,H31,H31/G31)</f>
        <v>2350.4076923076923</v>
      </c>
      <c r="J31" t="s">
        <v>157</v>
      </c>
      <c r="K31" t="s">
        <v>163</v>
      </c>
      <c r="L31" s="28">
        <v>75000</v>
      </c>
      <c r="M31" t="str">
        <f>IF(H31&lt;=L31,"Y","Not Covered")</f>
        <v>Y</v>
      </c>
      <c r="N31" t="str">
        <f>_xlfn.CONCAT(LEFT(A31,7),UPPER(LEFT(J31,3)),RIGHT(A31,3))</f>
        <v>HO11CIVBLA034</v>
      </c>
    </row>
    <row r="32" spans="1:14">
      <c r="A32" t="s">
        <v>164</v>
      </c>
      <c r="B32" t="str">
        <f>LEFT(A32,2)</f>
        <v>FD</v>
      </c>
      <c r="C32" t="str">
        <f>LOOKUP(B32,$B$59:$B$64,$C$59:$C$64)</f>
        <v>Ford</v>
      </c>
      <c r="D32" t="str">
        <f>MID(A32,5,3)</f>
        <v>MTG</v>
      </c>
      <c r="E32" t="str">
        <f>VLOOKUP(D32,D$59:E$69,2)</f>
        <v>Mustang</v>
      </c>
      <c r="F32" t="str">
        <f>MID(A32,3,2)</f>
        <v>08</v>
      </c>
      <c r="G32">
        <f>IF(24-F32&lt;0,100-F32+24,24-F32)</f>
        <v>16</v>
      </c>
      <c r="H32" s="28">
        <v>37558.800000000003</v>
      </c>
      <c r="I32" s="28">
        <f>IF(G32=0,H32,H32/G32)</f>
        <v>2347.4250000000002</v>
      </c>
      <c r="J32" t="s">
        <v>157</v>
      </c>
      <c r="K32" t="s">
        <v>165</v>
      </c>
      <c r="L32" s="28">
        <v>50000</v>
      </c>
      <c r="M32" t="str">
        <f>IF(H32&lt;=L32,"Y","Not Covered")</f>
        <v>Y</v>
      </c>
      <c r="N32" t="str">
        <f>_xlfn.CONCAT(LEFT(A32,7),UPPER(LEFT(J32,3)),RIGHT(A32,3))</f>
        <v>FD08MTGBLA004</v>
      </c>
    </row>
    <row r="33" spans="1:14">
      <c r="A33" t="s">
        <v>169</v>
      </c>
      <c r="B33" t="str">
        <f>LEFT(A33,2)</f>
        <v>FD</v>
      </c>
      <c r="C33" t="str">
        <f>LOOKUP(B33,$B$59:$B$64,$C$59:$C$64)</f>
        <v>Ford</v>
      </c>
      <c r="D33" t="str">
        <f>MID(A33,5,3)</f>
        <v>FCS</v>
      </c>
      <c r="E33" t="str">
        <f>VLOOKUP(D33,D$59:E$69,2)</f>
        <v>Focus</v>
      </c>
      <c r="F33" t="str">
        <f>MID(A33,3,2)</f>
        <v>09</v>
      </c>
      <c r="G33">
        <f>IF(24-F33&lt;0,100-F33+24,24-F33)</f>
        <v>15</v>
      </c>
      <c r="H33" s="28">
        <v>35137</v>
      </c>
      <c r="I33" s="28">
        <f>IF(G33=0,H33,H33/G33)</f>
        <v>2342.4666666666667</v>
      </c>
      <c r="J33" t="s">
        <v>157</v>
      </c>
      <c r="K33" t="s">
        <v>7</v>
      </c>
      <c r="L33" s="28">
        <v>75000</v>
      </c>
      <c r="M33" t="str">
        <f>IF(H33&lt;=L33,"Y","Not Covered")</f>
        <v>Y</v>
      </c>
      <c r="N33" t="str">
        <f>_xlfn.CONCAT(LEFT(A33,7),UPPER(LEFT(J33,3)),RIGHT(A33,3))</f>
        <v>FD09FCSBLA008</v>
      </c>
    </row>
    <row r="34" spans="1:14">
      <c r="A34" t="s">
        <v>166</v>
      </c>
      <c r="B34" t="str">
        <f>LEFT(A34,2)</f>
        <v>FD</v>
      </c>
      <c r="C34" t="str">
        <f>LOOKUP(B34,$B$59:$B$64,$C$59:$C$64)</f>
        <v>Ford</v>
      </c>
      <c r="D34" t="str">
        <f>MID(A34,5,3)</f>
        <v>MTG</v>
      </c>
      <c r="E34" t="str">
        <f>VLOOKUP(D34,D$59:E$69,2)</f>
        <v>Mustang</v>
      </c>
      <c r="F34" t="str">
        <f>MID(A34,3,2)</f>
        <v>08</v>
      </c>
      <c r="G34">
        <f>IF(24-F34&lt;0,100-F34+24,24-F34)</f>
        <v>16</v>
      </c>
      <c r="H34" s="28">
        <v>36438.5</v>
      </c>
      <c r="I34" s="28">
        <f>IF(G34=0,H34,H34/G34)</f>
        <v>2277.40625</v>
      </c>
      <c r="J34" t="s">
        <v>159</v>
      </c>
      <c r="K34" t="s">
        <v>10</v>
      </c>
      <c r="L34" s="28">
        <v>50000</v>
      </c>
      <c r="M34" t="str">
        <f>IF(H34&lt;=L34,"Y","Not Covered")</f>
        <v>Y</v>
      </c>
      <c r="N34" t="str">
        <f>_xlfn.CONCAT(LEFT(A34,7),UPPER(LEFT(J34,3)),RIGHT(A34,3))</f>
        <v>FD08MTGWHI005</v>
      </c>
    </row>
    <row r="35" spans="1:14">
      <c r="A35" t="s">
        <v>156</v>
      </c>
      <c r="B35" t="str">
        <f>LEFT(A35,2)</f>
        <v>FD</v>
      </c>
      <c r="C35" t="str">
        <f>LOOKUP(B35,$B$59:$B$64,$C$59:$C$64)</f>
        <v>Ford</v>
      </c>
      <c r="D35" t="str">
        <f>MID(A35,5,3)</f>
        <v>MTG</v>
      </c>
      <c r="E35" t="str">
        <f>VLOOKUP(D35,D$59:E$69,2)</f>
        <v>Mustang</v>
      </c>
      <c r="F35" t="str">
        <f>MID(A35,3,2)</f>
        <v>06</v>
      </c>
      <c r="G35">
        <f>IF(24-F35&lt;0,100-F35+24,24-F35)</f>
        <v>18</v>
      </c>
      <c r="H35" s="28">
        <v>40326.800000000003</v>
      </c>
      <c r="I35" s="28">
        <f>IF(G35=0,H35,H35/G35)</f>
        <v>2240.3777777777777</v>
      </c>
      <c r="J35" t="s">
        <v>157</v>
      </c>
      <c r="K35" t="s">
        <v>10</v>
      </c>
      <c r="L35" s="28">
        <v>50000</v>
      </c>
      <c r="M35" t="str">
        <f>IF(H35&lt;=L35,"Y","Not Covered")</f>
        <v>Y</v>
      </c>
      <c r="N35" t="str">
        <f>_xlfn.CONCAT(LEFT(A35,7),UPPER(LEFT(J35,3)),RIGHT(A35,3))</f>
        <v>FD06MTGBLA001</v>
      </c>
    </row>
    <row r="36" spans="1:14">
      <c r="A36" t="s">
        <v>220</v>
      </c>
      <c r="B36" t="str">
        <f>LEFT(A36,2)</f>
        <v>HY</v>
      </c>
      <c r="C36" t="str">
        <f>LOOKUP(B36,$B$59:$B$64,$C$59:$C$64)</f>
        <v>Hyundai</v>
      </c>
      <c r="D36" t="str">
        <f>MID(A36,5,3)</f>
        <v>ELA</v>
      </c>
      <c r="E36" t="str">
        <f>VLOOKUP(D36,D$59:E$69,2)</f>
        <v>Elantra</v>
      </c>
      <c r="F36" t="str">
        <f>MID(A36,3,2)</f>
        <v>11</v>
      </c>
      <c r="G36">
        <f>IF(24-F36&lt;0,100-F36+24,24-F36)</f>
        <v>13</v>
      </c>
      <c r="H36" s="28">
        <v>29102.3</v>
      </c>
      <c r="I36" s="28">
        <f>IF(G36=0,H36,H36/G36)</f>
        <v>2238.6384615384613</v>
      </c>
      <c r="J36" t="s">
        <v>157</v>
      </c>
      <c r="K36" t="s">
        <v>183</v>
      </c>
      <c r="L36" s="28">
        <v>100000</v>
      </c>
      <c r="M36" t="str">
        <f>IF(H36&lt;=L36,"Y","Not Covered")</f>
        <v>Y</v>
      </c>
      <c r="N36" t="str">
        <f>_xlfn.CONCAT(LEFT(A36,7),UPPER(LEFT(J36,3)),RIGHT(A36,3))</f>
        <v>HY11ELABLA049</v>
      </c>
    </row>
    <row r="37" spans="1:14">
      <c r="A37" t="s">
        <v>184</v>
      </c>
      <c r="B37" t="str">
        <f>LEFT(A37,2)</f>
        <v>GM</v>
      </c>
      <c r="C37" t="str">
        <f>LOOKUP(B37,$B$59:$B$64,$C$59:$C$64)</f>
        <v>General Motors</v>
      </c>
      <c r="D37" t="str">
        <f>MID(A37,5,3)</f>
        <v>SLV</v>
      </c>
      <c r="E37" t="str">
        <f>VLOOKUP(D37,D$59:E$69,2)</f>
        <v>Silverado</v>
      </c>
      <c r="F37" t="str">
        <f>MID(A37,3,2)</f>
        <v>10</v>
      </c>
      <c r="G37">
        <f>IF(24-F37&lt;0,100-F37+24,24-F37)</f>
        <v>14</v>
      </c>
      <c r="H37" s="28">
        <v>31144.400000000001</v>
      </c>
      <c r="I37" s="28">
        <f>IF(G37=0,H37,H37/G37)</f>
        <v>2224.6</v>
      </c>
      <c r="J37" t="s">
        <v>157</v>
      </c>
      <c r="K37" t="s">
        <v>185</v>
      </c>
      <c r="L37" s="28">
        <v>100000</v>
      </c>
      <c r="M37" t="str">
        <f>IF(H37&lt;=L37,"Y","Not Covered")</f>
        <v>Y</v>
      </c>
      <c r="N37" t="str">
        <f>_xlfn.CONCAT(LEFT(A37,7),UPPER(LEFT(J37,3)),RIGHT(A37,3))</f>
        <v>GM10SLVBLA017</v>
      </c>
    </row>
    <row r="38" spans="1:14">
      <c r="A38" t="s">
        <v>215</v>
      </c>
      <c r="B38" t="str">
        <f>LEFT(A38,2)</f>
        <v>CR</v>
      </c>
      <c r="C38" t="str">
        <f>LOOKUP(B38,$B$59:$B$64,$C$59:$C$64)</f>
        <v>Chrysler</v>
      </c>
      <c r="D38" t="str">
        <f>MID(A38,5,3)</f>
        <v>PTC</v>
      </c>
      <c r="E38" t="str">
        <f>VLOOKUP(D38,D$59:E$69,2)</f>
        <v>PT Cruiser</v>
      </c>
      <c r="F38" t="str">
        <f>MID(A38,3,2)</f>
        <v>11</v>
      </c>
      <c r="G38">
        <f>IF(24-F38&lt;0,100-F38+24,24-F38)</f>
        <v>13</v>
      </c>
      <c r="H38" s="28">
        <v>27394.2</v>
      </c>
      <c r="I38" s="28">
        <f>IF(G38=0,H38,H38/G38)</f>
        <v>2107.2461538461539</v>
      </c>
      <c r="J38" t="s">
        <v>157</v>
      </c>
      <c r="K38" t="s">
        <v>176</v>
      </c>
      <c r="L38" s="28">
        <v>75000</v>
      </c>
      <c r="M38" t="str">
        <f>IF(H38&lt;=L38,"Y","Not Covered")</f>
        <v>Y</v>
      </c>
      <c r="N38" t="str">
        <f>_xlfn.CONCAT(LEFT(A38,7),UPPER(LEFT(J38,3)),RIGHT(A38,3))</f>
        <v>CR11PTCBLA044</v>
      </c>
    </row>
    <row r="39" spans="1:14">
      <c r="A39" t="s">
        <v>175</v>
      </c>
      <c r="B39" t="str">
        <f>LEFT(A39,2)</f>
        <v>FD</v>
      </c>
      <c r="C39" t="str">
        <f>LOOKUP(B39,$B$59:$B$64,$C$59:$C$64)</f>
        <v>Ford</v>
      </c>
      <c r="D39" t="str">
        <f>MID(A39,5,3)</f>
        <v>FCS</v>
      </c>
      <c r="E39" t="str">
        <f>VLOOKUP(D39,D$59:E$69,2)</f>
        <v>Focus</v>
      </c>
      <c r="F39" t="str">
        <f>MID(A39,3,2)</f>
        <v>13</v>
      </c>
      <c r="G39">
        <f>IF(24-F39&lt;0,100-F39+24,24-F39)</f>
        <v>11</v>
      </c>
      <c r="H39" s="28">
        <v>22521.599999999999</v>
      </c>
      <c r="I39" s="28">
        <f>IF(G39=0,H39,H39/G39)</f>
        <v>2047.4181818181817</v>
      </c>
      <c r="J39" t="s">
        <v>157</v>
      </c>
      <c r="K39" t="s">
        <v>176</v>
      </c>
      <c r="L39" s="28">
        <v>75000</v>
      </c>
      <c r="M39" t="str">
        <f>IF(H39&lt;=L39,"Y","Not Covered")</f>
        <v>Y</v>
      </c>
      <c r="N39" t="str">
        <f>_xlfn.CONCAT(LEFT(A39,7),UPPER(LEFT(J39,3)),RIGHT(A39,3))</f>
        <v>FD13FCSBLA012</v>
      </c>
    </row>
    <row r="40" spans="1:14">
      <c r="A40" t="s">
        <v>208</v>
      </c>
      <c r="B40" t="str">
        <f>LEFT(A40,2)</f>
        <v>HO</v>
      </c>
      <c r="C40" t="str">
        <f>LOOKUP(B40,$B$59:$B$64,$C$59:$C$64)</f>
        <v>Honda</v>
      </c>
      <c r="D40" t="str">
        <f>MID(A40,5,3)</f>
        <v>CIV</v>
      </c>
      <c r="E40" t="str">
        <f>VLOOKUP(D40,D$59:E$69,2)</f>
        <v>Civic</v>
      </c>
      <c r="F40" t="str">
        <f>MID(A40,3,2)</f>
        <v>12</v>
      </c>
      <c r="G40">
        <f>IF(24-F40&lt;0,100-F40+24,24-F40)</f>
        <v>12</v>
      </c>
      <c r="H40" s="28">
        <v>24513.200000000001</v>
      </c>
      <c r="I40" s="28">
        <f>IF(G40=0,H40,H40/G40)</f>
        <v>2042.7666666666667</v>
      </c>
      <c r="J40" t="s">
        <v>157</v>
      </c>
      <c r="K40" t="s">
        <v>185</v>
      </c>
      <c r="L40" s="28">
        <v>75000</v>
      </c>
      <c r="M40" t="str">
        <f>IF(H40&lt;=L40,"Y","Not Covered")</f>
        <v>Y</v>
      </c>
      <c r="N40" t="str">
        <f>_xlfn.CONCAT(LEFT(A40,7),UPPER(LEFT(J40,3)),RIGHT(A40,3))</f>
        <v>HO12CIVBLA035</v>
      </c>
    </row>
    <row r="41" spans="1:14">
      <c r="A41" t="s">
        <v>223</v>
      </c>
      <c r="B41" t="str">
        <f>LEFT(A41,2)</f>
        <v>HY</v>
      </c>
      <c r="C41" t="str">
        <f>LOOKUP(B41,$B$59:$B$64,$C$59:$C$64)</f>
        <v>Hyundai</v>
      </c>
      <c r="D41" t="str">
        <f>MID(A41,5,3)</f>
        <v>ELA</v>
      </c>
      <c r="E41" t="str">
        <f>VLOOKUP(D41,D$59:E$69,2)</f>
        <v>Elantra</v>
      </c>
      <c r="F41" t="str">
        <f>MID(A41,3,2)</f>
        <v>13</v>
      </c>
      <c r="G41">
        <f>IF(24-F41&lt;0,100-F41+24,24-F41)</f>
        <v>11</v>
      </c>
      <c r="H41" s="28">
        <v>22188.5</v>
      </c>
      <c r="I41" s="28">
        <f>IF(G41=0,H41,H41/G41)</f>
        <v>2017.1363636363637</v>
      </c>
      <c r="J41" t="s">
        <v>188</v>
      </c>
      <c r="K41" t="s">
        <v>167</v>
      </c>
      <c r="L41" s="28">
        <v>100000</v>
      </c>
      <c r="M41" t="str">
        <f>IF(H41&lt;=L41,"Y","Not Covered")</f>
        <v>Y</v>
      </c>
      <c r="N41" t="str">
        <f>_xlfn.CONCAT(LEFT(A41,7),UPPER(LEFT(J41,3)),RIGHT(A41,3))</f>
        <v>HY13ELABLU052</v>
      </c>
    </row>
    <row r="42" spans="1:14">
      <c r="A42" t="s">
        <v>260</v>
      </c>
      <c r="B42" t="str">
        <f>LEFT(A42,2)</f>
        <v>GM</v>
      </c>
      <c r="C42" t="str">
        <f>LOOKUP(B42,$B$59:$B$64,$C$59:$C$64)</f>
        <v>General Motors</v>
      </c>
      <c r="D42" t="str">
        <f>MID(A42,5,3)</f>
        <v>CMR</v>
      </c>
      <c r="E42" t="str">
        <f>VLOOKUP(D42,D$59:E$69,2)</f>
        <v>Camaro</v>
      </c>
      <c r="F42" t="str">
        <f>MID(A42,3,2)</f>
        <v>09</v>
      </c>
      <c r="G42">
        <f>IF(24-F42&lt;0,100-F42+24,24-F42)</f>
        <v>15</v>
      </c>
      <c r="H42" s="28">
        <v>28464.799999999999</v>
      </c>
      <c r="I42" s="28">
        <f>IF(G42=0,H42,H42/G42)</f>
        <v>1897.6533333333332</v>
      </c>
      <c r="J42" t="s">
        <v>159</v>
      </c>
      <c r="K42" t="s">
        <v>179</v>
      </c>
      <c r="L42" s="28">
        <v>100000</v>
      </c>
      <c r="M42" t="str">
        <f>IF(H42&lt;=L42,"Y","Not Covered")</f>
        <v>Y</v>
      </c>
      <c r="N42" t="str">
        <f>_xlfn.CONCAT(LEFT(A42,7),UPPER(LEFT(J42,3)),RIGHT(A42,3))</f>
        <v>GM09CMRWHI014</v>
      </c>
    </row>
    <row r="43" spans="1:14">
      <c r="A43" t="s">
        <v>221</v>
      </c>
      <c r="B43" t="str">
        <f>LEFT(A43,2)</f>
        <v>HY</v>
      </c>
      <c r="C43" t="str">
        <f>LOOKUP(B43,$B$59:$B$64,$C$59:$C$64)</f>
        <v>Hyundai</v>
      </c>
      <c r="D43" t="str">
        <f>MID(A43,5,3)</f>
        <v>ELA</v>
      </c>
      <c r="E43" t="str">
        <f>VLOOKUP(D43,D$59:E$69,2)</f>
        <v>Elantra</v>
      </c>
      <c r="F43" t="str">
        <f>MID(A43,3,2)</f>
        <v>12</v>
      </c>
      <c r="G43">
        <f>IF(24-F43&lt;0,100-F43+24,24-F43)</f>
        <v>12</v>
      </c>
      <c r="H43" s="28">
        <v>22282</v>
      </c>
      <c r="I43" s="28">
        <f>IF(G43=0,H43,H43/G43)</f>
        <v>1856.8333333333333</v>
      </c>
      <c r="J43" t="s">
        <v>188</v>
      </c>
      <c r="K43" t="s">
        <v>160</v>
      </c>
      <c r="L43" s="28">
        <v>100000</v>
      </c>
      <c r="M43" t="str">
        <f>IF(H43&lt;=L43,"Y","Not Covered")</f>
        <v>Y</v>
      </c>
      <c r="N43" t="str">
        <f>_xlfn.CONCAT(LEFT(A43,7),UPPER(LEFT(J43,3)),RIGHT(A43,3))</f>
        <v>HY12ELABLU050</v>
      </c>
    </row>
    <row r="44" spans="1:14">
      <c r="A44" t="s">
        <v>202</v>
      </c>
      <c r="B44" t="str">
        <f>LEFT(A44,2)</f>
        <v>TY</v>
      </c>
      <c r="C44" t="str">
        <f>LOOKUP(B44,$B$59:$B$64,$C$59:$C$64)</f>
        <v>Toyota</v>
      </c>
      <c r="D44" t="str">
        <f>MID(A44,5,3)</f>
        <v>CAM</v>
      </c>
      <c r="E44" t="str">
        <f>VLOOKUP(D44,D$59:E$69,2)</f>
        <v>Camry</v>
      </c>
      <c r="F44" t="str">
        <f>MID(A44,3,2)</f>
        <v>12</v>
      </c>
      <c r="G44">
        <f>IF(24-F44&lt;0,100-F44+24,24-F44)</f>
        <v>12</v>
      </c>
      <c r="H44" s="28">
        <v>22128.2</v>
      </c>
      <c r="I44" s="28">
        <f>IF(G44=0,H44,H44/G44)</f>
        <v>1844.0166666666667</v>
      </c>
      <c r="J44" t="s">
        <v>188</v>
      </c>
      <c r="K44" t="s">
        <v>190</v>
      </c>
      <c r="L44" s="28">
        <v>100000</v>
      </c>
      <c r="M44" t="str">
        <f>IF(H44&lt;=L44,"Y","Not Covered")</f>
        <v>Y</v>
      </c>
      <c r="N44" t="str">
        <f>_xlfn.CONCAT(LEFT(A44,7),UPPER(LEFT(J44,3)),RIGHT(A44,3))</f>
        <v>TY12CAMBLU029</v>
      </c>
    </row>
    <row r="45" spans="1:14">
      <c r="A45" t="s">
        <v>222</v>
      </c>
      <c r="B45" t="str">
        <f>LEFT(A45,2)</f>
        <v>HY</v>
      </c>
      <c r="C45" t="str">
        <f>LOOKUP(B45,$B$59:$B$64,$C$59:$C$64)</f>
        <v>Hyundai</v>
      </c>
      <c r="D45" t="str">
        <f>MID(A45,5,3)</f>
        <v>ELA</v>
      </c>
      <c r="E45" t="str">
        <f>VLOOKUP(D45,D$59:E$69,2)</f>
        <v>Elantra</v>
      </c>
      <c r="F45" t="str">
        <f>MID(A45,3,2)</f>
        <v>13</v>
      </c>
      <c r="G45">
        <f>IF(24-F45&lt;0,100-F45+24,24-F45)</f>
        <v>11</v>
      </c>
      <c r="H45" s="28">
        <v>20223.900000000001</v>
      </c>
      <c r="I45" s="28">
        <f>IF(G45=0,H45,H45/G45)</f>
        <v>1838.5363636363638</v>
      </c>
      <c r="J45" t="s">
        <v>157</v>
      </c>
      <c r="K45" t="s">
        <v>172</v>
      </c>
      <c r="L45" s="28">
        <v>100000</v>
      </c>
      <c r="M45" t="str">
        <f>IF(H45&lt;=L45,"Y","Not Covered")</f>
        <v>Y</v>
      </c>
      <c r="N45" t="str">
        <f>_xlfn.CONCAT(LEFT(A45,7),UPPER(LEFT(J45,3)),RIGHT(A45,3))</f>
        <v>HY13ELABLA051</v>
      </c>
    </row>
    <row r="46" spans="1:14">
      <c r="A46" t="s">
        <v>200</v>
      </c>
      <c r="B46" t="str">
        <f>LEFT(A46,2)</f>
        <v>TY</v>
      </c>
      <c r="C46" t="str">
        <f>LOOKUP(B46,$B$59:$B$64,$C$59:$C$64)</f>
        <v>Toyota</v>
      </c>
      <c r="D46" t="str">
        <f>MID(A46,5,3)</f>
        <v>COR</v>
      </c>
      <c r="E46" t="str">
        <f>VLOOKUP(D46,D$59:E$69,2)</f>
        <v>Corolla</v>
      </c>
      <c r="F46" t="str">
        <f>MID(A46,3,2)</f>
        <v>14</v>
      </c>
      <c r="G46">
        <f>IF(24-F46&lt;0,100-F46+24,24-F46)</f>
        <v>10</v>
      </c>
      <c r="H46" s="28">
        <v>17556.3</v>
      </c>
      <c r="I46" s="28">
        <f>IF(G46=0,H46,H46/G46)</f>
        <v>1755.6299999999999</v>
      </c>
      <c r="J46" t="s">
        <v>188</v>
      </c>
      <c r="K46" t="s">
        <v>172</v>
      </c>
      <c r="L46" s="28">
        <v>100000</v>
      </c>
      <c r="M46" t="str">
        <f>IF(H46&lt;=L46,"Y","Not Covered")</f>
        <v>Y</v>
      </c>
      <c r="N46" t="str">
        <f>_xlfn.CONCAT(LEFT(A46,7),UPPER(LEFT(J46,3)),RIGHT(A46,3))</f>
        <v>TY14CORBLU027</v>
      </c>
    </row>
    <row r="47" spans="1:14">
      <c r="A47" t="s">
        <v>180</v>
      </c>
      <c r="B47" t="str">
        <f>LEFT(A47,2)</f>
        <v>GM</v>
      </c>
      <c r="C47" t="str">
        <f>LOOKUP(B47,$B$59:$B$64,$C$59:$C$64)</f>
        <v>General Motors</v>
      </c>
      <c r="D47" t="str">
        <f>MID(A47,5,3)</f>
        <v>CMR</v>
      </c>
      <c r="E47" t="str">
        <f>VLOOKUP(D47,D$59:E$69,2)</f>
        <v>Camaro</v>
      </c>
      <c r="F47" t="str">
        <f>MID(A47,3,2)</f>
        <v>12</v>
      </c>
      <c r="G47">
        <f>IF(24-F47&lt;0,100-F47+24,24-F47)</f>
        <v>12</v>
      </c>
      <c r="H47" s="28">
        <v>19421.099999999999</v>
      </c>
      <c r="I47" s="28">
        <f>IF(G47=0,H47,H47/G47)</f>
        <v>1618.425</v>
      </c>
      <c r="J47" t="s">
        <v>157</v>
      </c>
      <c r="K47" t="s">
        <v>181</v>
      </c>
      <c r="L47" s="28">
        <v>100000</v>
      </c>
      <c r="M47" t="str">
        <f>IF(H47&lt;=L47,"Y","Not Covered")</f>
        <v>Y</v>
      </c>
      <c r="N47" t="str">
        <f>_xlfn.CONCAT(LEFT(A47,7),UPPER(LEFT(J47,3)),RIGHT(A47,3))</f>
        <v>GM12CMRBLA015</v>
      </c>
    </row>
    <row r="48" spans="1:14">
      <c r="A48" t="s">
        <v>205</v>
      </c>
      <c r="B48" t="str">
        <f>LEFT(A48,2)</f>
        <v>HO</v>
      </c>
      <c r="C48" t="str">
        <f>LOOKUP(B48,$B$59:$B$64,$C$59:$C$64)</f>
        <v>Honda</v>
      </c>
      <c r="D48" t="str">
        <f>MID(A48,5,3)</f>
        <v>CIV</v>
      </c>
      <c r="E48" t="str">
        <f>VLOOKUP(D48,D$59:E$69,2)</f>
        <v>Civic</v>
      </c>
      <c r="F48" t="str">
        <f>MID(A48,3,2)</f>
        <v>10</v>
      </c>
      <c r="G48">
        <f>IF(24-F48&lt;0,100-F48+24,24-F48)</f>
        <v>14</v>
      </c>
      <c r="H48" s="28">
        <v>22573</v>
      </c>
      <c r="I48" s="28">
        <f>IF(G48=0,H48,H48/G48)</f>
        <v>1612.3571428571429</v>
      </c>
      <c r="J48" t="s">
        <v>188</v>
      </c>
      <c r="K48" t="s">
        <v>183</v>
      </c>
      <c r="L48" s="28">
        <v>75000</v>
      </c>
      <c r="M48" t="str">
        <f>IF(H48&lt;=L48,"Y","Not Covered")</f>
        <v>Y</v>
      </c>
      <c r="N48" t="str">
        <f>_xlfn.CONCAT(LEFT(A48,7),UPPER(LEFT(J48,3)),RIGHT(A48,3))</f>
        <v>HO10CIVBLU032</v>
      </c>
    </row>
    <row r="49" spans="1:14">
      <c r="A49" t="s">
        <v>173</v>
      </c>
      <c r="B49" t="str">
        <f>LEFT(A49,2)</f>
        <v>FD</v>
      </c>
      <c r="C49" t="str">
        <f>LOOKUP(B49,$B$59:$B$64,$C$59:$C$64)</f>
        <v>Ford</v>
      </c>
      <c r="D49" t="str">
        <f>MID(A49,5,3)</f>
        <v>FCS</v>
      </c>
      <c r="E49" t="str">
        <f>VLOOKUP(D49,D$59:E$69,2)</f>
        <v>Focus</v>
      </c>
      <c r="F49" t="str">
        <f>MID(A49,3,2)</f>
        <v>12</v>
      </c>
      <c r="G49">
        <f>IF(24-F49&lt;0,100-F49+24,24-F49)</f>
        <v>12</v>
      </c>
      <c r="H49" s="28">
        <v>19341.7</v>
      </c>
      <c r="I49" s="28">
        <f>IF(G49=0,H49,H49/G49)</f>
        <v>1611.8083333333334</v>
      </c>
      <c r="J49" t="s">
        <v>159</v>
      </c>
      <c r="K49" t="s">
        <v>174</v>
      </c>
      <c r="L49" s="28">
        <v>75000</v>
      </c>
      <c r="M49" t="str">
        <f>IF(H49&lt;=L49,"Y","Not Covered")</f>
        <v>Y</v>
      </c>
      <c r="N49" t="str">
        <f>_xlfn.CONCAT(LEFT(A49,7),UPPER(LEFT(J49,3)),RIGHT(A49,3))</f>
        <v>FD12FCSWHI011</v>
      </c>
    </row>
    <row r="50" spans="1:14">
      <c r="A50" t="s">
        <v>182</v>
      </c>
      <c r="B50" t="str">
        <f>LEFT(A50,2)</f>
        <v>GM</v>
      </c>
      <c r="C50" t="str">
        <f>LOOKUP(B50,$B$59:$B$64,$C$59:$C$64)</f>
        <v>General Motors</v>
      </c>
      <c r="D50" t="str">
        <f>MID(A50,5,3)</f>
        <v>CMR</v>
      </c>
      <c r="E50" t="str">
        <f>VLOOKUP(D50,D$59:E$69,2)</f>
        <v>Camaro</v>
      </c>
      <c r="F50" t="str">
        <f>MID(A50,3,2)</f>
        <v>14</v>
      </c>
      <c r="G50">
        <f>IF(24-F50&lt;0,100-F50+24,24-F50)</f>
        <v>10</v>
      </c>
      <c r="H50" s="28">
        <v>14289.6</v>
      </c>
      <c r="I50" s="28">
        <f>IF(G50=0,H50,H50/G50)</f>
        <v>1428.96</v>
      </c>
      <c r="J50" t="s">
        <v>159</v>
      </c>
      <c r="K50" t="s">
        <v>183</v>
      </c>
      <c r="L50" s="28">
        <v>100000</v>
      </c>
      <c r="M50" t="str">
        <f>IF(H50&lt;=L50,"Y","Not Covered")</f>
        <v>Y</v>
      </c>
      <c r="N50" t="str">
        <f>_xlfn.CONCAT(LEFT(A50,7),UPPER(LEFT(J50,3)),RIGHT(A50,3))</f>
        <v>GM14CMRWHI016</v>
      </c>
    </row>
    <row r="51" spans="1:14">
      <c r="A51" t="s">
        <v>209</v>
      </c>
      <c r="B51" t="str">
        <f>LEFT(A51,2)</f>
        <v>HO</v>
      </c>
      <c r="C51" t="str">
        <f>LOOKUP(B51,$B$59:$B$64,$C$59:$C$64)</f>
        <v>Honda</v>
      </c>
      <c r="D51" t="str">
        <f>MID(A51,5,3)</f>
        <v>CIV</v>
      </c>
      <c r="E51" t="str">
        <f>VLOOKUP(D51,D$59:E$69,2)</f>
        <v>Civic</v>
      </c>
      <c r="F51" t="str">
        <f>MID(A51,3,2)</f>
        <v>13</v>
      </c>
      <c r="G51">
        <f>IF(24-F51&lt;0,100-F51+24,24-F51)</f>
        <v>11</v>
      </c>
      <c r="H51" s="28">
        <v>13867.6</v>
      </c>
      <c r="I51" s="28">
        <f>IF(G51=0,H51,H51/G51)</f>
        <v>1260.6909090909091</v>
      </c>
      <c r="J51" t="s">
        <v>157</v>
      </c>
      <c r="K51" t="s">
        <v>190</v>
      </c>
      <c r="L51" s="28">
        <v>75000</v>
      </c>
      <c r="M51" t="str">
        <f>IF(H51&lt;=L51,"Y","Not Covered")</f>
        <v>Y</v>
      </c>
      <c r="N51" t="str">
        <f>_xlfn.CONCAT(LEFT(A51,7),UPPER(LEFT(J51,3)),RIGHT(A51,3))</f>
        <v>HO13CIVBLA036</v>
      </c>
    </row>
    <row r="52" spans="1:14">
      <c r="A52" t="s">
        <v>177</v>
      </c>
      <c r="B52" t="str">
        <f>LEFT(A52,2)</f>
        <v>FD</v>
      </c>
      <c r="C52" t="str">
        <f>LOOKUP(B52,$B$59:$B$64,$C$59:$C$64)</f>
        <v>Ford</v>
      </c>
      <c r="D52" t="str">
        <f>MID(A52,5,3)</f>
        <v>FCS</v>
      </c>
      <c r="E52" t="str">
        <f>VLOOKUP(D52,D$59:E$69,2)</f>
        <v>Focus</v>
      </c>
      <c r="F52" t="str">
        <f>MID(A52,3,2)</f>
        <v>13</v>
      </c>
      <c r="G52">
        <f>IF(24-F52&lt;0,100-F52+24,24-F52)</f>
        <v>11</v>
      </c>
      <c r="H52" s="28">
        <v>13682.9</v>
      </c>
      <c r="I52" s="28">
        <f>IF(G52=0,H52,H52/G52)</f>
        <v>1243.8999999999999</v>
      </c>
      <c r="J52" t="s">
        <v>157</v>
      </c>
      <c r="K52" t="s">
        <v>178</v>
      </c>
      <c r="L52" s="28">
        <v>75000</v>
      </c>
      <c r="M52" t="str">
        <f>IF(H52&lt;=L52,"Y","Not Covered")</f>
        <v>Y</v>
      </c>
      <c r="N52" t="str">
        <f>_xlfn.CONCAT(LEFT(A52,7),UPPER(LEFT(J52,3)),RIGHT(A52,3))</f>
        <v>FD13FCSBLA013</v>
      </c>
    </row>
    <row r="53" spans="1:14">
      <c r="A53" t="s">
        <v>212</v>
      </c>
      <c r="B53" t="str">
        <f>LEFT(A53,2)</f>
        <v>HO</v>
      </c>
      <c r="C53" t="str">
        <f>LOOKUP(B53,$B$59:$B$64,$C$59:$C$64)</f>
        <v>Honda</v>
      </c>
      <c r="D53" t="str">
        <f>MID(A53,5,3)</f>
        <v>ODY</v>
      </c>
      <c r="E53" t="str">
        <f>VLOOKUP(D53,D$59:E$69,2)</f>
        <v>Odyssey</v>
      </c>
      <c r="F53" t="str">
        <f>MID(A53,3,2)</f>
        <v>14</v>
      </c>
      <c r="G53">
        <f>IF(24-F53&lt;0,100-F53+24,24-F53)</f>
        <v>10</v>
      </c>
      <c r="H53" s="28">
        <v>3708.1</v>
      </c>
      <c r="I53" s="28">
        <f>IF(G53=0,H53,H53/G53)</f>
        <v>370.81</v>
      </c>
      <c r="J53" t="s">
        <v>157</v>
      </c>
      <c r="K53" t="s">
        <v>160</v>
      </c>
      <c r="L53" s="28">
        <v>100000</v>
      </c>
      <c r="M53" t="str">
        <f>IF(H53&lt;=L53,"Y","Not Covered")</f>
        <v>Y</v>
      </c>
      <c r="N53" t="str">
        <f>_xlfn.CONCAT(LEFT(A53,7),UPPER(LEFT(J53,3)),RIGHT(A53,3))</f>
        <v>HO14ODYBLA041</v>
      </c>
    </row>
    <row r="59" spans="1:14">
      <c r="B59" t="s">
        <v>224</v>
      </c>
      <c r="C59" t="s">
        <v>230</v>
      </c>
      <c r="D59" t="s">
        <v>236</v>
      </c>
      <c r="E59" t="s">
        <v>237</v>
      </c>
    </row>
    <row r="60" spans="1:14">
      <c r="B60" t="s">
        <v>227</v>
      </c>
      <c r="C60" t="s">
        <v>233</v>
      </c>
      <c r="D60" t="s">
        <v>256</v>
      </c>
      <c r="E60" t="s">
        <v>257</v>
      </c>
    </row>
    <row r="61" spans="1:14">
      <c r="B61" t="s">
        <v>229</v>
      </c>
      <c r="C61" t="s">
        <v>235</v>
      </c>
      <c r="D61" t="s">
        <v>248</v>
      </c>
      <c r="E61" t="s">
        <v>249</v>
      </c>
    </row>
    <row r="62" spans="1:14">
      <c r="B62" t="s">
        <v>226</v>
      </c>
      <c r="C62" t="s">
        <v>232</v>
      </c>
      <c r="D62" t="s">
        <v>242</v>
      </c>
      <c r="E62" t="s">
        <v>243</v>
      </c>
    </row>
    <row r="63" spans="1:14">
      <c r="B63" t="s">
        <v>225</v>
      </c>
      <c r="C63" t="s">
        <v>231</v>
      </c>
      <c r="D63" t="s">
        <v>244</v>
      </c>
      <c r="E63" t="s">
        <v>245</v>
      </c>
    </row>
    <row r="64" spans="1:14">
      <c r="B64" t="s">
        <v>228</v>
      </c>
      <c r="C64" t="s">
        <v>234</v>
      </c>
      <c r="D64" t="s">
        <v>240</v>
      </c>
      <c r="E64" t="s">
        <v>241</v>
      </c>
    </row>
    <row r="65" spans="4:5">
      <c r="D65" t="s">
        <v>246</v>
      </c>
      <c r="E65" t="s">
        <v>247</v>
      </c>
    </row>
    <row r="66" spans="4:5">
      <c r="D66" t="s">
        <v>252</v>
      </c>
      <c r="E66" t="s">
        <v>253</v>
      </c>
    </row>
    <row r="67" spans="4:5">
      <c r="D67" t="s">
        <v>250</v>
      </c>
      <c r="E67" t="s">
        <v>251</v>
      </c>
    </row>
    <row r="68" spans="4:5">
      <c r="D68" t="s">
        <v>238</v>
      </c>
      <c r="E68" t="s">
        <v>239</v>
      </c>
    </row>
    <row r="69" spans="4:5">
      <c r="D69" t="s">
        <v>254</v>
      </c>
      <c r="E69" t="s">
        <v>255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FE74-53E0-4840-86F1-1554CCB8C252}">
  <dimension ref="A1:G5"/>
  <sheetViews>
    <sheetView workbookViewId="0">
      <selection activeCell="M8" sqref="M8"/>
    </sheetView>
  </sheetViews>
  <sheetFormatPr defaultRowHeight="14.5"/>
  <cols>
    <col min="2" max="2" width="12.08984375" customWidth="1"/>
    <col min="3" max="3" width="11.08984375" customWidth="1"/>
    <col min="5" max="5" width="13" customWidth="1"/>
    <col min="6" max="6" width="11.1796875" customWidth="1"/>
  </cols>
  <sheetData>
    <row r="1" spans="1:7"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</row>
    <row r="2" spans="1:7">
      <c r="A2" t="s">
        <v>269</v>
      </c>
      <c r="B2" s="2">
        <v>10000</v>
      </c>
      <c r="C2" s="21">
        <v>0.09</v>
      </c>
      <c r="D2">
        <v>12</v>
      </c>
      <c r="E2" s="2">
        <f>(B2*C2)</f>
        <v>900</v>
      </c>
      <c r="F2" s="2">
        <f>B2+E2</f>
        <v>10900</v>
      </c>
      <c r="G2" s="2">
        <f>F2/D2</f>
        <v>908.33333333333337</v>
      </c>
    </row>
    <row r="3" spans="1:7">
      <c r="A3" t="s">
        <v>270</v>
      </c>
      <c r="B3" s="2">
        <v>10000</v>
      </c>
      <c r="C3" s="21">
        <v>0.06</v>
      </c>
      <c r="D3">
        <v>12</v>
      </c>
      <c r="E3" s="2">
        <f t="shared" ref="E3:E5" si="0">(B3*C3)</f>
        <v>600</v>
      </c>
      <c r="F3" s="2">
        <f t="shared" ref="F3:F5" si="1">B3+E3</f>
        <v>10600</v>
      </c>
      <c r="G3" s="2">
        <f t="shared" ref="G3:G5" si="2">F3/D3</f>
        <v>883.33333333333337</v>
      </c>
    </row>
    <row r="4" spans="1:7">
      <c r="A4" t="s">
        <v>271</v>
      </c>
      <c r="B4" s="2">
        <v>10000</v>
      </c>
      <c r="C4" s="21">
        <v>0.08</v>
      </c>
      <c r="D4">
        <v>12</v>
      </c>
      <c r="E4" s="2">
        <f t="shared" si="0"/>
        <v>800</v>
      </c>
      <c r="F4" s="2">
        <f t="shared" si="1"/>
        <v>10800</v>
      </c>
      <c r="G4" s="2">
        <f t="shared" si="2"/>
        <v>900</v>
      </c>
    </row>
    <row r="5" spans="1:7">
      <c r="A5" t="s">
        <v>272</v>
      </c>
      <c r="B5" s="2">
        <v>10000</v>
      </c>
      <c r="C5" s="21">
        <v>7.0000000000000007E-2</v>
      </c>
      <c r="D5">
        <v>12</v>
      </c>
      <c r="E5" s="2">
        <f t="shared" si="0"/>
        <v>700.00000000000011</v>
      </c>
      <c r="F5" s="2">
        <f t="shared" si="1"/>
        <v>10700</v>
      </c>
      <c r="G5" s="2">
        <f t="shared" si="2"/>
        <v>891.66666666666663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685A-5F13-4D74-8583-230157ACBA5A}">
  <dimension ref="A1:N17"/>
  <sheetViews>
    <sheetView topLeftCell="A16" workbookViewId="0">
      <selection activeCell="K36" sqref="K36"/>
    </sheetView>
  </sheetViews>
  <sheetFormatPr defaultRowHeight="14.5"/>
  <cols>
    <col min="1" max="1" width="18.54296875" customWidth="1"/>
    <col min="2" max="2" width="10.7265625" customWidth="1"/>
    <col min="3" max="3" width="12.1796875" customWidth="1"/>
    <col min="4" max="4" width="12" customWidth="1"/>
    <col min="5" max="5" width="2.81640625" customWidth="1"/>
    <col min="6" max="6" width="12.1796875" customWidth="1"/>
    <col min="7" max="7" width="10.54296875" customWidth="1"/>
    <col min="8" max="8" width="13" customWidth="1"/>
    <col min="9" max="9" width="13.6328125" customWidth="1"/>
    <col min="10" max="10" width="2.7265625" customWidth="1"/>
    <col min="11" max="11" width="10.7265625" customWidth="1"/>
    <col min="12" max="12" width="11.54296875" customWidth="1"/>
    <col min="13" max="13" width="13" customWidth="1"/>
    <col min="14" max="14" width="13.36328125" customWidth="1"/>
  </cols>
  <sheetData>
    <row r="1" spans="1:14" ht="15.5">
      <c r="A1" s="58"/>
      <c r="B1" s="58" t="s">
        <v>273</v>
      </c>
      <c r="C1" s="58" t="s">
        <v>274</v>
      </c>
      <c r="D1" s="58" t="s">
        <v>275</v>
      </c>
      <c r="F1" s="59" t="s">
        <v>291</v>
      </c>
      <c r="G1" s="61" t="s">
        <v>273</v>
      </c>
      <c r="H1" s="61" t="s">
        <v>274</v>
      </c>
      <c r="I1" s="61" t="s">
        <v>275</v>
      </c>
      <c r="K1" s="61" t="s">
        <v>292</v>
      </c>
      <c r="L1" s="61" t="s">
        <v>273</v>
      </c>
      <c r="M1" s="61" t="s">
        <v>274</v>
      </c>
      <c r="N1" s="61" t="s">
        <v>275</v>
      </c>
    </row>
    <row r="2" spans="1:14" ht="15.5">
      <c r="A2" s="58" t="s">
        <v>276</v>
      </c>
      <c r="B2" s="57">
        <v>0.5</v>
      </c>
      <c r="C2" s="57">
        <v>0.4</v>
      </c>
      <c r="D2" s="57">
        <v>1.4</v>
      </c>
      <c r="F2" s="60">
        <v>3</v>
      </c>
      <c r="G2" s="2">
        <f>F2*B2</f>
        <v>1.5</v>
      </c>
      <c r="H2" s="2">
        <f>F2*C2</f>
        <v>1.2000000000000002</v>
      </c>
      <c r="I2" s="2">
        <f>F2*D2</f>
        <v>4.1999999999999993</v>
      </c>
      <c r="K2" s="62">
        <v>5</v>
      </c>
      <c r="L2" s="2">
        <f>K2*B2</f>
        <v>2.5</v>
      </c>
      <c r="M2" s="2">
        <f>K2*C2</f>
        <v>2</v>
      </c>
      <c r="N2" s="2">
        <f>K2*D2</f>
        <v>7</v>
      </c>
    </row>
    <row r="3" spans="1:14" ht="15.5">
      <c r="A3" s="58" t="s">
        <v>277</v>
      </c>
      <c r="B3" s="57">
        <v>28</v>
      </c>
      <c r="C3" s="57">
        <v>33</v>
      </c>
      <c r="D3" s="57">
        <v>31</v>
      </c>
      <c r="F3" s="60">
        <v>1</v>
      </c>
      <c r="G3" s="2">
        <f t="shared" ref="G3:G16" si="0">F3*B3</f>
        <v>28</v>
      </c>
      <c r="H3" s="2">
        <f t="shared" ref="H3:H16" si="1">F3*C3</f>
        <v>33</v>
      </c>
      <c r="I3" s="2">
        <f t="shared" ref="I3:I16" si="2">F3*D3</f>
        <v>31</v>
      </c>
      <c r="K3" s="62">
        <v>1</v>
      </c>
      <c r="L3" s="2">
        <f t="shared" ref="L3:L16" si="3">K3*B3</f>
        <v>28</v>
      </c>
      <c r="M3" s="2">
        <f t="shared" ref="M3:M16" si="4">K3*C3</f>
        <v>33</v>
      </c>
      <c r="N3" s="2">
        <f t="shared" ref="N3:N16" si="5">K3*D3</f>
        <v>31</v>
      </c>
    </row>
    <row r="4" spans="1:14" ht="15.5">
      <c r="A4" s="58" t="s">
        <v>278</v>
      </c>
      <c r="B4" s="57">
        <v>1.8</v>
      </c>
      <c r="C4" s="57">
        <v>1</v>
      </c>
      <c r="D4" s="57">
        <v>2</v>
      </c>
      <c r="F4" s="60">
        <v>7</v>
      </c>
      <c r="G4" s="2">
        <f t="shared" si="0"/>
        <v>12.6</v>
      </c>
      <c r="H4" s="2">
        <f t="shared" si="1"/>
        <v>7</v>
      </c>
      <c r="I4" s="2">
        <f t="shared" si="2"/>
        <v>14</v>
      </c>
      <c r="K4" s="62">
        <v>4</v>
      </c>
      <c r="L4" s="2">
        <f t="shared" si="3"/>
        <v>7.2</v>
      </c>
      <c r="M4" s="2">
        <f t="shared" si="4"/>
        <v>4</v>
      </c>
      <c r="N4" s="2">
        <f t="shared" si="5"/>
        <v>8</v>
      </c>
    </row>
    <row r="5" spans="1:14" ht="15.5">
      <c r="A5" s="58" t="s">
        <v>279</v>
      </c>
      <c r="B5" s="57">
        <v>1.2</v>
      </c>
      <c r="C5" s="57">
        <v>0.8</v>
      </c>
      <c r="D5" s="57">
        <v>1.5</v>
      </c>
      <c r="F5" s="60">
        <v>1</v>
      </c>
      <c r="G5" s="2">
        <f t="shared" si="0"/>
        <v>1.2</v>
      </c>
      <c r="H5" s="2">
        <f t="shared" si="1"/>
        <v>0.8</v>
      </c>
      <c r="I5" s="2">
        <f t="shared" si="2"/>
        <v>1.5</v>
      </c>
      <c r="K5" s="62">
        <v>2</v>
      </c>
      <c r="L5" s="2">
        <f t="shared" si="3"/>
        <v>2.4</v>
      </c>
      <c r="M5" s="2">
        <f t="shared" si="4"/>
        <v>1.6</v>
      </c>
      <c r="N5" s="2">
        <f t="shared" si="5"/>
        <v>3</v>
      </c>
    </row>
    <row r="6" spans="1:14" ht="15.5">
      <c r="A6" s="58" t="s">
        <v>280</v>
      </c>
      <c r="B6" s="57">
        <v>2.4</v>
      </c>
      <c r="C6" s="57">
        <v>1.4</v>
      </c>
      <c r="D6" s="57">
        <v>2.4</v>
      </c>
      <c r="F6" s="60">
        <v>2</v>
      </c>
      <c r="G6" s="2">
        <f t="shared" si="0"/>
        <v>4.8</v>
      </c>
      <c r="H6" s="2">
        <f t="shared" si="1"/>
        <v>2.8</v>
      </c>
      <c r="I6" s="2">
        <f t="shared" si="2"/>
        <v>4.8</v>
      </c>
      <c r="K6" s="62">
        <v>2</v>
      </c>
      <c r="L6" s="2">
        <f t="shared" si="3"/>
        <v>4.8</v>
      </c>
      <c r="M6" s="2">
        <f t="shared" si="4"/>
        <v>2.8</v>
      </c>
      <c r="N6" s="2">
        <f t="shared" si="5"/>
        <v>4.8</v>
      </c>
    </row>
    <row r="7" spans="1:14" ht="15.5">
      <c r="A7" s="58" t="s">
        <v>281</v>
      </c>
      <c r="B7" s="57">
        <v>0.9</v>
      </c>
      <c r="C7" s="57">
        <v>0.2</v>
      </c>
      <c r="D7" s="57">
        <v>0.8</v>
      </c>
      <c r="F7" s="60">
        <v>2</v>
      </c>
      <c r="G7" s="2">
        <f t="shared" si="0"/>
        <v>1.8</v>
      </c>
      <c r="H7" s="2">
        <f t="shared" si="1"/>
        <v>0.4</v>
      </c>
      <c r="I7" s="2">
        <f t="shared" si="2"/>
        <v>1.6</v>
      </c>
      <c r="K7" s="62">
        <v>2</v>
      </c>
      <c r="L7" s="2">
        <f t="shared" si="3"/>
        <v>1.8</v>
      </c>
      <c r="M7" s="2">
        <f t="shared" si="4"/>
        <v>0.4</v>
      </c>
      <c r="N7" s="2">
        <f t="shared" si="5"/>
        <v>1.6</v>
      </c>
    </row>
    <row r="8" spans="1:14" ht="15.5">
      <c r="A8" s="58" t="s">
        <v>282</v>
      </c>
      <c r="B8" s="57">
        <v>0.99</v>
      </c>
      <c r="C8" s="57">
        <v>0.59</v>
      </c>
      <c r="D8" s="57">
        <v>2.59</v>
      </c>
      <c r="F8" s="60">
        <v>1</v>
      </c>
      <c r="G8" s="2">
        <f t="shared" si="0"/>
        <v>0.99</v>
      </c>
      <c r="H8" s="2">
        <f t="shared" si="1"/>
        <v>0.59</v>
      </c>
      <c r="I8" s="2">
        <f t="shared" si="2"/>
        <v>2.59</v>
      </c>
      <c r="K8" s="62">
        <v>1</v>
      </c>
      <c r="L8" s="2">
        <f t="shared" si="3"/>
        <v>0.99</v>
      </c>
      <c r="M8" s="2">
        <f t="shared" si="4"/>
        <v>0.59</v>
      </c>
      <c r="N8" s="2">
        <f t="shared" si="5"/>
        <v>2.59</v>
      </c>
    </row>
    <row r="9" spans="1:14" ht="15.5">
      <c r="A9" s="58" t="s">
        <v>283</v>
      </c>
      <c r="B9" s="57">
        <v>1.25</v>
      </c>
      <c r="C9" s="57">
        <v>3.25</v>
      </c>
      <c r="D9" s="57">
        <v>2.15</v>
      </c>
      <c r="F9" s="60">
        <v>4</v>
      </c>
      <c r="G9" s="2">
        <f t="shared" si="0"/>
        <v>5</v>
      </c>
      <c r="H9" s="2">
        <f t="shared" si="1"/>
        <v>13</v>
      </c>
      <c r="I9" s="2">
        <f t="shared" si="2"/>
        <v>8.6</v>
      </c>
      <c r="K9" s="62">
        <v>1</v>
      </c>
      <c r="L9" s="2">
        <f t="shared" si="3"/>
        <v>1.25</v>
      </c>
      <c r="M9" s="2">
        <f t="shared" si="4"/>
        <v>3.25</v>
      </c>
      <c r="N9" s="2">
        <f t="shared" si="5"/>
        <v>2.15</v>
      </c>
    </row>
    <row r="10" spans="1:14" ht="15.5">
      <c r="A10" s="58" t="s">
        <v>284</v>
      </c>
      <c r="B10" s="57">
        <v>9.5</v>
      </c>
      <c r="C10" s="57">
        <v>14</v>
      </c>
      <c r="D10" s="57">
        <v>13</v>
      </c>
      <c r="F10" s="60">
        <v>1</v>
      </c>
      <c r="G10" s="2">
        <f t="shared" si="0"/>
        <v>9.5</v>
      </c>
      <c r="H10" s="2">
        <f t="shared" si="1"/>
        <v>14</v>
      </c>
      <c r="I10" s="2">
        <f t="shared" si="2"/>
        <v>13</v>
      </c>
      <c r="K10" s="62">
        <v>1</v>
      </c>
      <c r="L10" s="2">
        <f t="shared" si="3"/>
        <v>9.5</v>
      </c>
      <c r="M10" s="2">
        <f t="shared" si="4"/>
        <v>14</v>
      </c>
      <c r="N10" s="2">
        <f t="shared" si="5"/>
        <v>13</v>
      </c>
    </row>
    <row r="11" spans="1:14" ht="15.5">
      <c r="A11" s="58" t="s">
        <v>285</v>
      </c>
      <c r="B11" s="57">
        <v>4.55</v>
      </c>
      <c r="C11" s="57">
        <v>2.5499999999999998</v>
      </c>
      <c r="D11" s="57">
        <v>6</v>
      </c>
      <c r="F11" s="60">
        <v>1</v>
      </c>
      <c r="G11" s="2">
        <f t="shared" si="0"/>
        <v>4.55</v>
      </c>
      <c r="H11" s="2">
        <f t="shared" si="1"/>
        <v>2.5499999999999998</v>
      </c>
      <c r="I11" s="2">
        <f t="shared" si="2"/>
        <v>6</v>
      </c>
      <c r="K11" s="62">
        <v>1</v>
      </c>
      <c r="L11" s="2">
        <f t="shared" si="3"/>
        <v>4.55</v>
      </c>
      <c r="M11" s="2">
        <f t="shared" si="4"/>
        <v>2.5499999999999998</v>
      </c>
      <c r="N11" s="2">
        <f t="shared" si="5"/>
        <v>6</v>
      </c>
    </row>
    <row r="12" spans="1:14" ht="15.5">
      <c r="A12" s="58" t="s">
        <v>286</v>
      </c>
      <c r="B12" s="57">
        <v>4.2</v>
      </c>
      <c r="C12" s="57">
        <v>2.2000000000000002</v>
      </c>
      <c r="D12" s="57">
        <v>3</v>
      </c>
      <c r="F12" s="60">
        <v>1</v>
      </c>
      <c r="G12" s="2">
        <f t="shared" si="0"/>
        <v>4.2</v>
      </c>
      <c r="H12" s="2">
        <f t="shared" si="1"/>
        <v>2.2000000000000002</v>
      </c>
      <c r="I12" s="2">
        <f t="shared" si="2"/>
        <v>3</v>
      </c>
      <c r="K12" s="62"/>
      <c r="L12" s="2">
        <f t="shared" si="3"/>
        <v>0</v>
      </c>
      <c r="M12" s="2">
        <f t="shared" si="4"/>
        <v>0</v>
      </c>
      <c r="N12" s="2">
        <f t="shared" si="5"/>
        <v>0</v>
      </c>
    </row>
    <row r="13" spans="1:14" ht="15.5">
      <c r="A13" s="58" t="s">
        <v>287</v>
      </c>
      <c r="B13" s="57">
        <v>3.9</v>
      </c>
      <c r="C13" s="57">
        <v>5</v>
      </c>
      <c r="D13" s="57">
        <v>8</v>
      </c>
      <c r="F13" s="60">
        <v>1</v>
      </c>
      <c r="G13" s="2">
        <f t="shared" si="0"/>
        <v>3.9</v>
      </c>
      <c r="H13" s="2">
        <f t="shared" si="1"/>
        <v>5</v>
      </c>
      <c r="I13" s="2">
        <f t="shared" si="2"/>
        <v>8</v>
      </c>
      <c r="L13" s="2">
        <f t="shared" si="3"/>
        <v>0</v>
      </c>
      <c r="M13" s="2">
        <f t="shared" si="4"/>
        <v>0</v>
      </c>
      <c r="N13" s="2">
        <f t="shared" si="5"/>
        <v>0</v>
      </c>
    </row>
    <row r="14" spans="1:14" ht="15.5">
      <c r="A14" s="58" t="s">
        <v>288</v>
      </c>
      <c r="B14" s="57">
        <v>1</v>
      </c>
      <c r="C14" s="57">
        <v>2</v>
      </c>
      <c r="D14" s="57">
        <v>1</v>
      </c>
      <c r="F14" s="60">
        <v>1</v>
      </c>
      <c r="G14" s="2">
        <f t="shared" si="0"/>
        <v>1</v>
      </c>
      <c r="H14" s="2">
        <f t="shared" si="1"/>
        <v>2</v>
      </c>
      <c r="I14" s="2">
        <f t="shared" si="2"/>
        <v>1</v>
      </c>
      <c r="L14" s="2">
        <f t="shared" si="3"/>
        <v>0</v>
      </c>
      <c r="M14" s="2">
        <f t="shared" si="4"/>
        <v>0</v>
      </c>
      <c r="N14" s="2">
        <f t="shared" si="5"/>
        <v>0</v>
      </c>
    </row>
    <row r="15" spans="1:14" ht="15.5">
      <c r="A15" s="58" t="s">
        <v>289</v>
      </c>
      <c r="B15" s="57">
        <v>1.75</v>
      </c>
      <c r="C15" s="57">
        <v>2</v>
      </c>
      <c r="D15" s="57">
        <v>1</v>
      </c>
      <c r="F15" s="60">
        <v>1</v>
      </c>
      <c r="G15" s="2">
        <f t="shared" si="0"/>
        <v>1.75</v>
      </c>
      <c r="H15" s="2">
        <f t="shared" si="1"/>
        <v>2</v>
      </c>
      <c r="I15" s="2">
        <f t="shared" si="2"/>
        <v>1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 ht="15.5">
      <c r="A16" s="58" t="s">
        <v>290</v>
      </c>
      <c r="B16" s="57">
        <v>2</v>
      </c>
      <c r="C16" s="57">
        <v>1</v>
      </c>
      <c r="D16" s="57">
        <v>3</v>
      </c>
      <c r="F16" s="60">
        <v>1</v>
      </c>
      <c r="G16" s="2">
        <f t="shared" si="0"/>
        <v>2</v>
      </c>
      <c r="H16" s="2">
        <f t="shared" si="1"/>
        <v>1</v>
      </c>
      <c r="I16" s="2">
        <f t="shared" si="2"/>
        <v>3</v>
      </c>
      <c r="K16">
        <v>2</v>
      </c>
      <c r="L16" s="2">
        <f t="shared" si="3"/>
        <v>4</v>
      </c>
      <c r="M16" s="2">
        <f t="shared" si="4"/>
        <v>2</v>
      </c>
      <c r="N16" s="2">
        <f t="shared" si="5"/>
        <v>6</v>
      </c>
    </row>
    <row r="17" spans="6:14">
      <c r="F17" t="s">
        <v>293</v>
      </c>
      <c r="G17" s="2">
        <f>SUM(G2:G16)</f>
        <v>82.79</v>
      </c>
      <c r="H17" s="2">
        <f>SUM(H2:H16)</f>
        <v>87.539999999999992</v>
      </c>
      <c r="I17" s="2">
        <f>SUM(I2:I16)</f>
        <v>103.28999999999999</v>
      </c>
      <c r="K17" t="s">
        <v>294</v>
      </c>
      <c r="L17" s="2">
        <f>SUM(L2:L16)</f>
        <v>66.989999999999995</v>
      </c>
      <c r="M17" s="2">
        <f>SUM(M2:M16)</f>
        <v>66.19</v>
      </c>
      <c r="N17" s="2">
        <f>SUM(N2:N16)</f>
        <v>85.139999999999986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Payroll</vt:lpstr>
      <vt:lpstr>GradeBook</vt:lpstr>
      <vt:lpstr>Decision Maker</vt:lpstr>
      <vt:lpstr>Sales Database</vt:lpstr>
      <vt:lpstr>Pivot Table &amp; Chart</vt:lpstr>
      <vt:lpstr>Car Inventory Pivot</vt:lpstr>
      <vt:lpstr>Car Inventory</vt:lpstr>
      <vt:lpstr>Problem 1</vt:lpstr>
      <vt:lpstr>Problem 2</vt:lpstr>
      <vt:lpstr>Problem 3</vt:lpstr>
      <vt:lpstr>Problem 4</vt:lpstr>
      <vt:lpstr>Problem 5</vt:lpstr>
      <vt:lpstr>Problem 6</vt:lpstr>
      <vt:lpstr>Problem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Sooraj Tomar</dc:creator>
  <cp:lastModifiedBy>Sooraj Tomar</cp:lastModifiedBy>
  <cp:lastPrinted>2024-04-30T06:33:48Z</cp:lastPrinted>
  <dcterms:created xsi:type="dcterms:W3CDTF">2024-04-30T05:31:38Z</dcterms:created>
  <dcterms:modified xsi:type="dcterms:W3CDTF">2024-04-30T14:29:54Z</dcterms:modified>
</cp:coreProperties>
</file>