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9C7B9BD9-0D9D-4391-92C7-4ABEE7E7137B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0" i="1" l="1"/>
  <c r="B169" i="1"/>
  <c r="B168" i="1"/>
  <c r="C161" i="1"/>
  <c r="C160" i="1"/>
  <c r="C159" i="1"/>
  <c r="B161" i="1"/>
  <c r="B160" i="1"/>
  <c r="B159" i="1"/>
  <c r="J161" i="1"/>
  <c r="J160" i="1"/>
  <c r="J159" i="1"/>
  <c r="I161" i="1"/>
  <c r="I160" i="1"/>
  <c r="I159" i="1"/>
  <c r="H161" i="1"/>
  <c r="H160" i="1"/>
  <c r="H159" i="1"/>
  <c r="G161" i="1"/>
  <c r="G160" i="1"/>
  <c r="G159" i="1"/>
  <c r="F161" i="1"/>
  <c r="F160" i="1"/>
  <c r="F159" i="1"/>
  <c r="E161" i="1"/>
  <c r="E160" i="1"/>
  <c r="E159" i="1"/>
  <c r="D161" i="1"/>
  <c r="D160" i="1"/>
  <c r="D159" i="1"/>
  <c r="N151" i="1"/>
  <c r="N150" i="1"/>
  <c r="N149" i="1"/>
  <c r="L151" i="1"/>
  <c r="L150" i="1"/>
  <c r="L149" i="1"/>
  <c r="K151" i="1"/>
  <c r="K150" i="1"/>
  <c r="K149" i="1"/>
  <c r="J151" i="1"/>
  <c r="J150" i="1"/>
  <c r="J149" i="1"/>
  <c r="I151" i="1"/>
  <c r="I150" i="1"/>
  <c r="I149" i="1"/>
  <c r="H151" i="1"/>
  <c r="H150" i="1"/>
  <c r="H149" i="1"/>
  <c r="G151" i="1"/>
  <c r="G150" i="1"/>
  <c r="G149" i="1"/>
  <c r="F151" i="1"/>
  <c r="F150" i="1"/>
  <c r="F149" i="1"/>
  <c r="E151" i="1"/>
  <c r="E150" i="1"/>
  <c r="E149" i="1"/>
  <c r="D151" i="1"/>
  <c r="D150" i="1"/>
  <c r="D149" i="1"/>
  <c r="C150" i="1" l="1"/>
  <c r="C151" i="1"/>
  <c r="C149" i="1"/>
  <c r="B151" i="1"/>
  <c r="B150" i="1"/>
  <c r="B149" i="1"/>
  <c r="C137" i="1"/>
  <c r="D137" i="1"/>
  <c r="E137" i="1"/>
  <c r="F137" i="1"/>
  <c r="G137" i="1"/>
  <c r="H137" i="1"/>
  <c r="I137" i="1"/>
  <c r="J137" i="1"/>
  <c r="K137" i="1"/>
  <c r="B137" i="1"/>
  <c r="O73" i="1"/>
  <c r="O72" i="1"/>
  <c r="L73" i="1"/>
  <c r="M73" i="1"/>
  <c r="N73" i="1"/>
  <c r="K73" i="1"/>
  <c r="N72" i="1"/>
  <c r="L72" i="1"/>
  <c r="M72" i="1"/>
  <c r="K72" i="1"/>
  <c r="B111" i="1"/>
  <c r="C111" i="1"/>
  <c r="D111" i="1"/>
  <c r="I103" i="1"/>
  <c r="H103" i="1"/>
  <c r="G103" i="1"/>
  <c r="F103" i="1"/>
  <c r="E103" i="1"/>
  <c r="D103" i="1"/>
  <c r="C103" i="1"/>
  <c r="B103" i="1"/>
  <c r="E111" i="1"/>
  <c r="C54" i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<sst xmlns="http://schemas.openxmlformats.org/spreadsheetml/2006/main" count="294" uniqueCount="109">
  <si>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</si>
  <si>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</si>
  <si>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</si>
  <si>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</si>
  <si>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</si>
  <si>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</si>
  <si>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</si>
  <si>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</si>
  <si>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</si>
  <si>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</si>
  <si>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</si>
  <si>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</si>
  <si>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</si>
  <si>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</si>
  <si>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</si>
  <si>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</si>
  <si>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</si>
  <si>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</si>
  <si>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</si>
  <si>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</si>
  <si>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</si>
  <si>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</si>
  <si>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</si>
  <si>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</si>
  <si>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</si>
  <si>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</si>
  <si>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</si>
  <si>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</si>
  <si>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</si>
  <si>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</si>
  <si>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</si>
  <si>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</si>
  <si>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</si>
  <si>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</si>
  <si>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</si>
  <si>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</si>
  <si>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</si>
  <si>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</si>
  <si>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</si>
  <si>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</si>
  <si>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</si>
  <si>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</si>
  <si>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</si>
  <si>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</si>
  <si>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</si>
  <si>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</si>
  <si>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</si>
  <si>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</si>
  <si>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</si>
  <si>
    <t>10th Jun</t>
  </si>
  <si>
    <t>cost £</t>
  </si>
  <si>
    <t>emissions kg</t>
  </si>
  <si>
    <t>food waste cals</t>
  </si>
  <si>
    <t>occupancy data 10 days</t>
  </si>
  <si>
    <t>occupancy data 50 days</t>
  </si>
  <si>
    <t>2hrs</t>
  </si>
  <si>
    <t>3hrs</t>
  </si>
  <si>
    <t xml:space="preserve">1hr </t>
  </si>
  <si>
    <t>occupancy data 60 days</t>
  </si>
  <si>
    <t>time</t>
  </si>
  <si>
    <t>same 10 days repeated x 5 then / 5 to compare scalability</t>
  </si>
  <si>
    <t>occupancy data 30 days</t>
  </si>
  <si>
    <t>occupancy data 40 days</t>
  </si>
  <si>
    <t>&lt;-----------</t>
  </si>
  <si>
    <t>occupancy data 20 days</t>
  </si>
  <si>
    <t>occupancy data</t>
  </si>
  <si>
    <t>num days</t>
  </si>
  <si>
    <t>soln improves over time</t>
  </si>
  <si>
    <t>y</t>
  </si>
  <si>
    <t>n</t>
  </si>
  <si>
    <t>occupancy data 7 days</t>
  </si>
  <si>
    <t>cost + emissions + cals</t>
  </si>
  <si>
    <t>relaxed constraints</t>
  </si>
  <si>
    <t>30 s</t>
  </si>
  <si>
    <t>cost + emissions*10 + cals * 1000</t>
  </si>
  <si>
    <t xml:space="preserve">cost + emissions + cals * 100 </t>
  </si>
  <si>
    <t>cost*10 + emissions + cals*100</t>
  </si>
  <si>
    <t>cost*10 + emissions + cals*1000</t>
  </si>
  <si>
    <t>sum(nutritionServed)</t>
  </si>
  <si>
    <t>cost + emissions + sum(nutrition)</t>
  </si>
  <si>
    <t>scaled avg</t>
  </si>
  <si>
    <t>13th Jun</t>
  </si>
  <si>
    <t>15th Jun</t>
  </si>
  <si>
    <t>Batch size</t>
  </si>
  <si>
    <t>10 min</t>
  </si>
  <si>
    <t>food waste sum nutrients</t>
  </si>
  <si>
    <t>max num people</t>
  </si>
  <si>
    <t>days x people</t>
  </si>
  <si>
    <t>imporved over time</t>
  </si>
  <si>
    <t>yes</t>
  </si>
  <si>
    <t>cost/(days x people)</t>
  </si>
  <si>
    <t>emissions /(days x people)</t>
  </si>
  <si>
    <t>food waste /(days x people)</t>
  </si>
  <si>
    <t>satisfiability time</t>
  </si>
  <si>
    <t>12 s</t>
  </si>
  <si>
    <t>6 s</t>
  </si>
  <si>
    <t xml:space="preserve">8 s </t>
  </si>
  <si>
    <t>1 m 15 s</t>
  </si>
  <si>
    <t>no</t>
  </si>
  <si>
    <t>1m</t>
  </si>
  <si>
    <t>18 s</t>
  </si>
  <si>
    <t>20 s</t>
  </si>
  <si>
    <t>3m 56s</t>
  </si>
  <si>
    <t>27s</t>
  </si>
  <si>
    <t>16th Jun</t>
  </si>
  <si>
    <t>5 min</t>
  </si>
  <si>
    <t>Matrix size</t>
  </si>
  <si>
    <t>test runs</t>
  </si>
  <si>
    <t>actual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</si>
</sst>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21-9705-CD083E75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89535"/>
        <c:axId val="666084959"/>
      </c:barChart>
      <c:catAx>
        <c:axId val="666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959"/>
        <c:crosses val="autoZero"/>
        <c:auto val="1"/>
        <c:lblAlgn val="ctr"/>
        <c:lblOffset val="100"/>
        <c:noMultiLvlLbl val="0"/>
      </c:catAx>
      <c:valAx>
        <c:axId val="666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Sheet1!$R$146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Sheet1!$Q$147:$Q$149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Sheet1!$R$147:$R$149</c:f>
              <c:numCache>
                <c:formatCode>General</c:formatCode>
                <c:ptCount val="3"/>
                <c:pt idx="0">
                  <c:v>1768</c:v>
                </c:pt>
                <c:pt idx="1">
                  <c:v>1837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503-8DD9-E070464E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53424"/>
        <c:axId val="940247184"/>
      </c:barChart>
      <c:catAx>
        <c:axId val="940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47184"/>
        <c:crosses val="autoZero"/>
        <c:auto val="1"/>
        <c:lblAlgn val="ctr"/>
        <c:lblOffset val="100"/>
        <c:noMultiLvlLbl val="0"/>
      </c:catAx>
      <c:valAx>
        <c:axId val="9402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Sheet1!$T$146</c:f>
              <c:strCache>
                <c:ptCount val="1"/>
                <c:pt idx="0">
                  <c:v>cals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Sheet1!$S$147:$S$149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Sheet1!$T$147:$T$149</c:f>
              <c:numCache>
                <c:formatCode>General</c:formatCode>
                <c:ptCount val="3"/>
                <c:pt idx="0">
                  <c:v>1790</c:v>
                </c:pt>
                <c:pt idx="1">
                  <c:v>1913</c:v>
                </c:pt>
                <c:pt idx="2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A7A-AD0F-8CF38EC1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28960"/>
        <c:axId val="935029376"/>
      </c:barChart>
      <c:catAx>
        <c:axId val="9350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9376"/>
        <c:crosses val="autoZero"/>
        <c:auto val="1"/>
        <c:lblAlgn val="ctr"/>
        <c:lblOffset val="100"/>
        <c:noMultiLvlLbl val="0"/>
      </c:catAx>
      <c:valAx>
        <c:axId val="935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Sheet1!$V$146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Sheet1!$U$147:$U$149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Sheet1!$V$147:$V$149</c:f>
              <c:numCache>
                <c:formatCode>General</c:formatCode>
                <c:ptCount val="3"/>
                <c:pt idx="0">
                  <c:v>1766</c:v>
                </c:pt>
                <c:pt idx="1">
                  <c:v>1863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20D-8D02-C5F56B84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882848"/>
        <c:axId val="1067881184"/>
      </c:barChart>
      <c:catAx>
        <c:axId val="10678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1184"/>
        <c:crosses val="autoZero"/>
        <c:auto val="1"/>
        <c:lblAlgn val="ctr"/>
        <c:lblOffset val="100"/>
        <c:noMultiLvlLbl val="0"/>
      </c:catAx>
      <c:valAx>
        <c:axId val="1067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79514</xdr:colOff>
      <xdr:row>36</xdr:row>
      <xdr:rowOff>72887</xdr:rowOff>
    </xdr:from>
    <xdr:to>
      <xdr:col>25</xdr:col>
      <xdr:colOff>384314</xdr:colOff>
      <xdr:row>51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02A31-65CF-FDF8-CED1-AE100038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46383</xdr:colOff>
      <xdr:row>132</xdr:row>
      <xdr:rowOff>152401</xdr:rowOff>
    </xdr:from>
    <xdr:to>
      <xdr:col>24</xdr:col>
      <xdr:colOff>351183</xdr:colOff>
      <xdr:row>147</xdr:row>
      <xdr:rowOff>112644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F912F-C1E0-BE13-1EAE-4F867624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364436</xdr:colOff>
      <xdr:row>132</xdr:row>
      <xdr:rowOff>159026</xdr:rowOff>
    </xdr:from>
    <xdr:to>
      <xdr:col>32</xdr:col>
      <xdr:colOff>59636</xdr:colOff>
      <xdr:row>147</xdr:row>
      <xdr:rowOff>119269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180E6F-799C-3DC8-8DDC-756416D1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19880</xdr:colOff>
      <xdr:row>147</xdr:row>
      <xdr:rowOff>172278</xdr:rowOff>
    </xdr:from>
    <xdr:to>
      <xdr:col>24</xdr:col>
      <xdr:colOff>324680</xdr:colOff>
      <xdr:row>162</xdr:row>
      <xdr:rowOff>132522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4FAB2-A087-359F-81AF-8A7EB92D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V170"/>
  <sheetViews>
    <sheetView tabSelected="1" topLeftCell="A153" zoomScale="115" zoomScaleNormal="115" workbookViewId="0">
      <selection activeCell="C165" sqref="C165:C167"/>
    </sheetView>
  </sheetViews>
  <sheetFormatPr defaultRowHeight="14.4" x14ac:dyDescent="0.3"/>
  <cols>
    <col min="1" max="1" width="10.5546875" bestFit="1" customWidth="1"/>
    <col min="3" max="9" width="10.4414062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43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26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27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43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26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27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  <row r="69" spans="1:15" x14ac:dyDescent="0.3">
      <c r="A69" s="1" t="s">
        <v>49</v>
      </c>
    </row>
    <row r="70" spans="1:15" x14ac:dyDescent="0.3">
      <c r="A70" t="s">
        <v>25</v>
      </c>
      <c r="B70" t="s">
        <v>53</v>
      </c>
      <c r="J70" t="s">
        <v>63</v>
      </c>
      <c r="K70" t="s">
        <v>60</v>
      </c>
    </row>
    <row r="71" spans="1:15" x14ac:dyDescent="0.3">
      <c r="A71" t="s">
        <v>17</v>
      </c>
      <c r="B71">
        <v>0</v>
      </c>
      <c r="C71">
        <v>1</v>
      </c>
      <c r="D71">
        <v>2</v>
      </c>
      <c r="E71">
        <v>5</v>
      </c>
      <c r="F71">
        <v>10</v>
      </c>
      <c r="G71">
        <v>20</v>
      </c>
      <c r="H71">
        <v>30</v>
      </c>
      <c r="I71">
        <v>60</v>
      </c>
      <c r="J71" t="s">
        <v>17</v>
      </c>
      <c r="K71">
        <v>0</v>
      </c>
      <c r="L71">
        <v>1</v>
      </c>
      <c r="M71">
        <v>2</v>
      </c>
      <c r="N71">
        <v>5</v>
      </c>
      <c r="O71">
        <v>10</v>
      </c>
    </row>
    <row r="72" spans="1:15" x14ac:dyDescent="0.3">
      <c r="A72" t="s">
        <v>50</v>
      </c>
      <c r="B72">
        <v>2456</v>
      </c>
      <c r="C72">
        <v>2456</v>
      </c>
      <c r="D72">
        <v>2458</v>
      </c>
      <c r="E72">
        <v>2458</v>
      </c>
      <c r="F72">
        <v>2431</v>
      </c>
      <c r="G72">
        <v>2426</v>
      </c>
      <c r="H72">
        <v>2426</v>
      </c>
      <c r="I72">
        <v>2407</v>
      </c>
      <c r="J72" t="s">
        <v>50</v>
      </c>
      <c r="K72">
        <f>12016/5</f>
        <v>2403.1999999999998</v>
      </c>
      <c r="L72">
        <f t="shared" ref="L72:O72" si="1">12016/5</f>
        <v>2403.1999999999998</v>
      </c>
      <c r="M72">
        <f t="shared" si="1"/>
        <v>2403.1999999999998</v>
      </c>
      <c r="N72">
        <f t="shared" si="1"/>
        <v>2403.1999999999998</v>
      </c>
      <c r="O72">
        <f t="shared" si="1"/>
        <v>2403.1999999999998</v>
      </c>
    </row>
    <row r="73" spans="1:15" x14ac:dyDescent="0.3">
      <c r="A73" t="s">
        <v>51</v>
      </c>
      <c r="B73">
        <v>2129</v>
      </c>
      <c r="C73">
        <v>2129</v>
      </c>
      <c r="D73">
        <v>2109</v>
      </c>
      <c r="E73">
        <v>2109</v>
      </c>
      <c r="F73">
        <v>2126</v>
      </c>
      <c r="G73">
        <v>2124</v>
      </c>
      <c r="H73">
        <v>2124</v>
      </c>
      <c r="I73">
        <v>2102</v>
      </c>
      <c r="J73" t="s">
        <v>51</v>
      </c>
      <c r="K73">
        <f>9312/5</f>
        <v>1862.4</v>
      </c>
      <c r="L73">
        <f t="shared" ref="L73:O73" si="2">9312/5</f>
        <v>1862.4</v>
      </c>
      <c r="M73">
        <f t="shared" si="2"/>
        <v>1862.4</v>
      </c>
      <c r="N73">
        <f t="shared" si="2"/>
        <v>1862.4</v>
      </c>
      <c r="O73">
        <f t="shared" si="2"/>
        <v>1862.4</v>
      </c>
    </row>
    <row r="74" spans="1:15" x14ac:dyDescent="0.3">
      <c r="A74" t="s">
        <v>52</v>
      </c>
      <c r="B74">
        <v>1531660</v>
      </c>
      <c r="C74">
        <v>1531660</v>
      </c>
      <c r="D74">
        <v>1460280</v>
      </c>
      <c r="E74">
        <v>1460280</v>
      </c>
      <c r="F74">
        <v>1486490</v>
      </c>
      <c r="G74">
        <v>1492530</v>
      </c>
      <c r="H74">
        <v>1492530</v>
      </c>
      <c r="I74">
        <v>1493500</v>
      </c>
    </row>
    <row r="75" spans="1:15" x14ac:dyDescent="0.3">
      <c r="A75" t="s">
        <v>28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</row>
    <row r="78" spans="1:15" x14ac:dyDescent="0.3">
      <c r="A78" t="s">
        <v>25</v>
      </c>
      <c r="B78" t="s">
        <v>64</v>
      </c>
    </row>
    <row r="79" spans="1:15" x14ac:dyDescent="0.3">
      <c r="A79" t="s">
        <v>17</v>
      </c>
      <c r="B79">
        <v>0</v>
      </c>
      <c r="C79">
        <v>1</v>
      </c>
      <c r="D79">
        <v>2</v>
      </c>
      <c r="E79">
        <v>5</v>
      </c>
      <c r="F79">
        <v>10</v>
      </c>
    </row>
    <row r="80" spans="1:15" x14ac:dyDescent="0.3">
      <c r="A80" t="s">
        <v>50</v>
      </c>
      <c r="B80">
        <v>16138</v>
      </c>
      <c r="C80">
        <v>16138</v>
      </c>
      <c r="D80">
        <v>16138</v>
      </c>
      <c r="E80">
        <v>16138</v>
      </c>
      <c r="F80">
        <v>16138</v>
      </c>
    </row>
    <row r="81" spans="1:6" x14ac:dyDescent="0.3">
      <c r="A81" t="s">
        <v>51</v>
      </c>
      <c r="B81">
        <v>12988</v>
      </c>
      <c r="C81">
        <v>12988</v>
      </c>
      <c r="D81">
        <v>12988</v>
      </c>
      <c r="E81">
        <v>12988</v>
      </c>
      <c r="F81">
        <v>12988</v>
      </c>
    </row>
    <row r="82" spans="1:6" x14ac:dyDescent="0.3">
      <c r="A82" t="s">
        <v>52</v>
      </c>
      <c r="B82">
        <v>1667710</v>
      </c>
      <c r="C82">
        <v>1667710</v>
      </c>
      <c r="D82">
        <v>1667710</v>
      </c>
      <c r="E82">
        <v>1667710</v>
      </c>
      <c r="F82">
        <v>1667710</v>
      </c>
    </row>
    <row r="85" spans="1:6" x14ac:dyDescent="0.3">
      <c r="A85" t="s">
        <v>25</v>
      </c>
      <c r="B85" t="s">
        <v>61</v>
      </c>
    </row>
    <row r="86" spans="1:6" x14ac:dyDescent="0.3">
      <c r="A86" t="s">
        <v>17</v>
      </c>
      <c r="B86">
        <v>0</v>
      </c>
      <c r="C86">
        <v>1</v>
      </c>
      <c r="D86">
        <v>2</v>
      </c>
      <c r="E86">
        <v>5</v>
      </c>
      <c r="F86">
        <v>10</v>
      </c>
    </row>
    <row r="87" spans="1:6" x14ac:dyDescent="0.3">
      <c r="A87" t="s">
        <v>50</v>
      </c>
      <c r="B87">
        <v>9445</v>
      </c>
      <c r="C87">
        <v>9445</v>
      </c>
      <c r="D87">
        <v>9445</v>
      </c>
      <c r="E87">
        <v>9445</v>
      </c>
      <c r="F87">
        <v>9445</v>
      </c>
    </row>
    <row r="88" spans="1:6" x14ac:dyDescent="0.3">
      <c r="A88" t="s">
        <v>51</v>
      </c>
      <c r="B88">
        <v>7483</v>
      </c>
      <c r="C88">
        <v>7483</v>
      </c>
      <c r="D88">
        <v>7483</v>
      </c>
      <c r="E88">
        <v>7483</v>
      </c>
      <c r="F88">
        <v>7483</v>
      </c>
    </row>
    <row r="89" spans="1:6" x14ac:dyDescent="0.3">
      <c r="A89" t="s">
        <v>52</v>
      </c>
      <c r="B89">
        <v>641221</v>
      </c>
      <c r="C89">
        <v>641221</v>
      </c>
      <c r="D89">
        <v>641221</v>
      </c>
      <c r="E89">
        <v>641221</v>
      </c>
      <c r="F89">
        <v>641221</v>
      </c>
    </row>
    <row r="92" spans="1:6" x14ac:dyDescent="0.3">
      <c r="A92" t="s">
        <v>25</v>
      </c>
      <c r="B92" t="s">
        <v>62</v>
      </c>
    </row>
    <row r="93" spans="1:6" x14ac:dyDescent="0.3">
      <c r="A93" t="s">
        <v>17</v>
      </c>
      <c r="B93">
        <v>0</v>
      </c>
      <c r="C93">
        <v>1</v>
      </c>
      <c r="D93">
        <v>2</v>
      </c>
      <c r="E93">
        <v>5</v>
      </c>
      <c r="F93">
        <v>10</v>
      </c>
    </row>
    <row r="94" spans="1:6" x14ac:dyDescent="0.3">
      <c r="A94" t="s">
        <v>50</v>
      </c>
      <c r="B94">
        <v>14721</v>
      </c>
      <c r="C94">
        <v>14632</v>
      </c>
      <c r="D94">
        <v>14632</v>
      </c>
      <c r="E94">
        <v>14632</v>
      </c>
      <c r="F94">
        <v>14632</v>
      </c>
    </row>
    <row r="95" spans="1:6" x14ac:dyDescent="0.3">
      <c r="A95" t="s">
        <v>51</v>
      </c>
      <c r="B95">
        <v>11008</v>
      </c>
      <c r="C95">
        <v>11120</v>
      </c>
      <c r="D95">
        <v>11120</v>
      </c>
      <c r="E95">
        <v>11120</v>
      </c>
      <c r="F95">
        <v>11120</v>
      </c>
    </row>
    <row r="96" spans="1:6" x14ac:dyDescent="0.3">
      <c r="A96" t="s">
        <v>52</v>
      </c>
      <c r="B96">
        <v>761708</v>
      </c>
      <c r="C96">
        <v>642869</v>
      </c>
      <c r="D96">
        <v>642869</v>
      </c>
      <c r="E96">
        <v>642869</v>
      </c>
      <c r="F96">
        <v>642869</v>
      </c>
    </row>
    <row r="99" spans="1:9" x14ac:dyDescent="0.3">
      <c r="A99" t="s">
        <v>25</v>
      </c>
      <c r="B99" t="s">
        <v>54</v>
      </c>
    </row>
    <row r="100" spans="1:9" x14ac:dyDescent="0.3">
      <c r="A100" t="s">
        <v>17</v>
      </c>
      <c r="B100">
        <v>0</v>
      </c>
      <c r="C100">
        <v>1</v>
      </c>
      <c r="D100">
        <v>2</v>
      </c>
      <c r="E100">
        <v>5</v>
      </c>
      <c r="F100">
        <v>10</v>
      </c>
      <c r="G100">
        <v>20</v>
      </c>
      <c r="H100">
        <v>30</v>
      </c>
      <c r="I100">
        <v>60</v>
      </c>
    </row>
    <row r="101" spans="1:9" x14ac:dyDescent="0.3">
      <c r="A101" t="s">
        <v>50</v>
      </c>
      <c r="B101">
        <v>31448</v>
      </c>
      <c r="C101">
        <v>31183</v>
      </c>
      <c r="D101">
        <v>31183</v>
      </c>
      <c r="E101">
        <v>31183</v>
      </c>
      <c r="F101">
        <v>31183</v>
      </c>
      <c r="G101">
        <v>31183</v>
      </c>
      <c r="H101">
        <v>31183</v>
      </c>
      <c r="I101">
        <v>31183</v>
      </c>
    </row>
    <row r="102" spans="1:9" x14ac:dyDescent="0.3">
      <c r="A102" t="s">
        <v>51</v>
      </c>
      <c r="B102">
        <v>27367</v>
      </c>
      <c r="C102">
        <v>27735</v>
      </c>
      <c r="D102">
        <v>27735</v>
      </c>
      <c r="E102">
        <v>27735</v>
      </c>
      <c r="F102">
        <v>27735</v>
      </c>
      <c r="G102">
        <v>27735</v>
      </c>
      <c r="H102">
        <v>27735</v>
      </c>
      <c r="I102">
        <v>27735</v>
      </c>
    </row>
    <row r="103" spans="1:9" x14ac:dyDescent="0.3">
      <c r="A103" t="s">
        <v>52</v>
      </c>
      <c r="B103">
        <f>1979915*50</f>
        <v>98995750</v>
      </c>
      <c r="C103">
        <f>2177831*50</f>
        <v>108891550</v>
      </c>
      <c r="D103">
        <f t="shared" ref="D103:I103" si="3">50*2177831</f>
        <v>108891550</v>
      </c>
      <c r="E103">
        <f t="shared" si="3"/>
        <v>108891550</v>
      </c>
      <c r="F103">
        <f t="shared" si="3"/>
        <v>108891550</v>
      </c>
      <c r="G103">
        <f t="shared" si="3"/>
        <v>108891550</v>
      </c>
      <c r="H103">
        <f t="shared" si="3"/>
        <v>108891550</v>
      </c>
      <c r="I103">
        <f t="shared" si="3"/>
        <v>108891550</v>
      </c>
    </row>
    <row r="104" spans="1:9" x14ac:dyDescent="0.3">
      <c r="A104" t="s">
        <v>28</v>
      </c>
      <c r="B104">
        <v>1012</v>
      </c>
      <c r="C104">
        <v>1009</v>
      </c>
      <c r="D104">
        <v>1009</v>
      </c>
      <c r="E104">
        <v>1009</v>
      </c>
      <c r="F104">
        <v>1009</v>
      </c>
      <c r="G104">
        <v>1009</v>
      </c>
      <c r="H104">
        <v>1009</v>
      </c>
      <c r="I104">
        <v>1009</v>
      </c>
    </row>
    <row r="107" spans="1:9" x14ac:dyDescent="0.3">
      <c r="A107" t="s">
        <v>25</v>
      </c>
      <c r="B107" t="s">
        <v>58</v>
      </c>
    </row>
    <row r="108" spans="1:9" x14ac:dyDescent="0.3">
      <c r="A108" t="s">
        <v>59</v>
      </c>
      <c r="B108">
        <v>0</v>
      </c>
      <c r="C108" t="s">
        <v>57</v>
      </c>
      <c r="D108" t="s">
        <v>55</v>
      </c>
      <c r="E108" t="s">
        <v>56</v>
      </c>
    </row>
    <row r="109" spans="1:9" x14ac:dyDescent="0.3">
      <c r="A109" t="s">
        <v>50</v>
      </c>
      <c r="B109">
        <v>31792</v>
      </c>
      <c r="C109">
        <v>31792</v>
      </c>
      <c r="D109">
        <v>31792</v>
      </c>
      <c r="E109">
        <v>31792</v>
      </c>
    </row>
    <row r="110" spans="1:9" x14ac:dyDescent="0.3">
      <c r="A110" t="s">
        <v>51</v>
      </c>
      <c r="B110">
        <v>24735</v>
      </c>
      <c r="C110">
        <v>24735</v>
      </c>
      <c r="D110">
        <v>24735</v>
      </c>
      <c r="E110">
        <v>24735</v>
      </c>
    </row>
    <row r="111" spans="1:9" x14ac:dyDescent="0.3">
      <c r="A111" t="s">
        <v>52</v>
      </c>
      <c r="B111">
        <f>540782-363000</f>
        <v>177782</v>
      </c>
      <c r="C111">
        <f>540782-363000</f>
        <v>177782</v>
      </c>
      <c r="D111">
        <f>540782-363000</f>
        <v>177782</v>
      </c>
      <c r="E111">
        <f>540782-363000</f>
        <v>177782</v>
      </c>
    </row>
    <row r="115" spans="1:2" x14ac:dyDescent="0.3">
      <c r="B115" t="s">
        <v>65</v>
      </c>
    </row>
    <row r="116" spans="1:2" x14ac:dyDescent="0.3">
      <c r="A116" t="s">
        <v>66</v>
      </c>
      <c r="B116" t="s">
        <v>67</v>
      </c>
    </row>
    <row r="117" spans="1:2" x14ac:dyDescent="0.3">
      <c r="A117">
        <v>7</v>
      </c>
      <c r="B117" t="s">
        <v>69</v>
      </c>
    </row>
    <row r="118" spans="1:2" x14ac:dyDescent="0.3">
      <c r="A118">
        <v>8</v>
      </c>
      <c r="B118" t="s">
        <v>68</v>
      </c>
    </row>
    <row r="119" spans="1:2" x14ac:dyDescent="0.3">
      <c r="A119">
        <v>9</v>
      </c>
      <c r="B119" t="s">
        <v>68</v>
      </c>
    </row>
    <row r="120" spans="1:2" x14ac:dyDescent="0.3">
      <c r="A120">
        <v>10</v>
      </c>
      <c r="B120" t="s">
        <v>69</v>
      </c>
    </row>
    <row r="121" spans="1:2" x14ac:dyDescent="0.3">
      <c r="A121">
        <v>11</v>
      </c>
      <c r="B121" t="s">
        <v>69</v>
      </c>
    </row>
    <row r="122" spans="1:2" x14ac:dyDescent="0.3">
      <c r="A122">
        <v>12</v>
      </c>
      <c r="B122" t="s">
        <v>69</v>
      </c>
    </row>
    <row r="123" spans="1:2" x14ac:dyDescent="0.3">
      <c r="A123">
        <v>13</v>
      </c>
      <c r="B123" t="s">
        <v>69</v>
      </c>
    </row>
    <row r="124" spans="1:2" x14ac:dyDescent="0.3">
      <c r="A124">
        <v>14</v>
      </c>
      <c r="B124" t="s">
        <v>69</v>
      </c>
    </row>
    <row r="125" spans="1:2" x14ac:dyDescent="0.3">
      <c r="A125">
        <v>15</v>
      </c>
      <c r="B125" t="s">
        <v>69</v>
      </c>
    </row>
    <row r="126" spans="1:2" x14ac:dyDescent="0.3">
      <c r="A126">
        <v>16</v>
      </c>
      <c r="B126" t="s">
        <v>69</v>
      </c>
    </row>
    <row r="127" spans="1:2" x14ac:dyDescent="0.3">
      <c r="A127">
        <v>17</v>
      </c>
      <c r="B127" t="s">
        <v>69</v>
      </c>
    </row>
    <row r="128" spans="1:2" x14ac:dyDescent="0.3">
      <c r="A128">
        <v>18</v>
      </c>
      <c r="B128" t="s">
        <v>69</v>
      </c>
    </row>
    <row r="129" spans="1:15" x14ac:dyDescent="0.3">
      <c r="A129">
        <v>19</v>
      </c>
      <c r="B129" t="s">
        <v>69</v>
      </c>
    </row>
    <row r="130" spans="1:15" x14ac:dyDescent="0.3">
      <c r="A130">
        <v>20</v>
      </c>
      <c r="B130" t="s">
        <v>69</v>
      </c>
    </row>
    <row r="131" spans="1:15" x14ac:dyDescent="0.3">
      <c r="D131" s="1" t="s">
        <v>81</v>
      </c>
    </row>
    <row r="132" spans="1:15" x14ac:dyDescent="0.3">
      <c r="A132" t="s">
        <v>73</v>
      </c>
      <c r="B132" t="s">
        <v>70</v>
      </c>
      <c r="D132" t="s">
        <v>72</v>
      </c>
    </row>
    <row r="133" spans="1:15" x14ac:dyDescent="0.3">
      <c r="A133" t="s">
        <v>25</v>
      </c>
      <c r="B133" t="s">
        <v>71</v>
      </c>
      <c r="C133" t="s">
        <v>27</v>
      </c>
      <c r="D133" t="s">
        <v>0</v>
      </c>
      <c r="E133" t="s">
        <v>26</v>
      </c>
      <c r="F133" t="s">
        <v>75</v>
      </c>
      <c r="G133" t="s">
        <v>74</v>
      </c>
      <c r="H133" t="s">
        <v>76</v>
      </c>
      <c r="I133" t="s">
        <v>77</v>
      </c>
      <c r="J133" t="s">
        <v>78</v>
      </c>
      <c r="K133" t="s">
        <v>79</v>
      </c>
    </row>
    <row r="134" spans="1:15" x14ac:dyDescent="0.3">
      <c r="A134" t="s">
        <v>50</v>
      </c>
      <c r="B134">
        <v>1768</v>
      </c>
      <c r="C134">
        <v>1768</v>
      </c>
      <c r="D134">
        <v>1790</v>
      </c>
      <c r="E134">
        <v>1766</v>
      </c>
      <c r="F134">
        <v>1768</v>
      </c>
      <c r="G134">
        <v>1806</v>
      </c>
      <c r="H134">
        <v>1768</v>
      </c>
      <c r="I134">
        <v>1773</v>
      </c>
      <c r="J134">
        <v>1768</v>
      </c>
      <c r="K134">
        <v>1771</v>
      </c>
    </row>
    <row r="135" spans="1:15" x14ac:dyDescent="0.3">
      <c r="A135" t="s">
        <v>51</v>
      </c>
      <c r="B135">
        <v>1837</v>
      </c>
      <c r="C135">
        <v>1837</v>
      </c>
      <c r="D135">
        <v>1913</v>
      </c>
      <c r="E135">
        <v>1863</v>
      </c>
      <c r="F135">
        <v>1837</v>
      </c>
      <c r="G135">
        <v>1868</v>
      </c>
      <c r="H135">
        <v>1837</v>
      </c>
      <c r="I135">
        <v>1892</v>
      </c>
      <c r="J135">
        <v>1868</v>
      </c>
      <c r="K135">
        <v>1840</v>
      </c>
    </row>
    <row r="136" spans="1:15" x14ac:dyDescent="0.3">
      <c r="A136" t="s">
        <v>52</v>
      </c>
      <c r="B136">
        <v>88619</v>
      </c>
      <c r="C136">
        <v>87575</v>
      </c>
      <c r="D136">
        <v>69575</v>
      </c>
      <c r="E136">
        <v>86759</v>
      </c>
      <c r="F136">
        <v>88619</v>
      </c>
      <c r="G136">
        <v>78036</v>
      </c>
      <c r="H136">
        <v>88619</v>
      </c>
      <c r="I136">
        <v>77737</v>
      </c>
      <c r="J136">
        <v>87634</v>
      </c>
      <c r="K136">
        <v>88486</v>
      </c>
    </row>
    <row r="137" spans="1:15" x14ac:dyDescent="0.3">
      <c r="A137" t="s">
        <v>80</v>
      </c>
      <c r="B137">
        <f>AVERAGE(B136/47, B135, B134)</f>
        <v>1830.1702127659573</v>
      </c>
      <c r="C137">
        <f t="shared" ref="C137:K137" si="4">AVERAGE(C136/47, C135, C134)</f>
        <v>1822.7659574468087</v>
      </c>
      <c r="D137">
        <f t="shared" si="4"/>
        <v>1727.7730496453903</v>
      </c>
      <c r="E137">
        <f t="shared" si="4"/>
        <v>1824.9787234042553</v>
      </c>
      <c r="F137">
        <f t="shared" si="4"/>
        <v>1830.1702127659573</v>
      </c>
      <c r="G137">
        <f t="shared" si="4"/>
        <v>1778.113475177305</v>
      </c>
      <c r="H137">
        <f t="shared" si="4"/>
        <v>1830.1702127659573</v>
      </c>
      <c r="I137">
        <f t="shared" si="4"/>
        <v>1772.9929078014184</v>
      </c>
      <c r="J137">
        <f t="shared" si="4"/>
        <v>1833.5177304964539</v>
      </c>
      <c r="K137">
        <f t="shared" si="4"/>
        <v>1831.2269503546097</v>
      </c>
    </row>
    <row r="140" spans="1:15" x14ac:dyDescent="0.3">
      <c r="A140" t="s">
        <v>25</v>
      </c>
      <c r="B140" t="s">
        <v>82</v>
      </c>
      <c r="C140" t="s">
        <v>84</v>
      </c>
    </row>
    <row r="141" spans="1:15" x14ac:dyDescent="0.3">
      <c r="A141" t="s">
        <v>83</v>
      </c>
      <c r="B141" s="7">
        <v>7</v>
      </c>
      <c r="C141" s="7">
        <v>8</v>
      </c>
      <c r="D141" s="7">
        <v>9</v>
      </c>
      <c r="E141" s="7">
        <v>10</v>
      </c>
      <c r="F141" s="7">
        <v>12</v>
      </c>
      <c r="G141" s="7">
        <v>15</v>
      </c>
      <c r="H141" s="7">
        <v>21</v>
      </c>
      <c r="I141" s="8">
        <v>25</v>
      </c>
      <c r="J141" s="8">
        <v>28</v>
      </c>
      <c r="K141" s="7">
        <v>30</v>
      </c>
      <c r="L141" s="7">
        <v>35</v>
      </c>
      <c r="M141" s="7">
        <v>40</v>
      </c>
      <c r="N141" s="7">
        <v>42</v>
      </c>
      <c r="O141" t="s">
        <v>83</v>
      </c>
    </row>
    <row r="142" spans="1:15" x14ac:dyDescent="0.3">
      <c r="A142" t="s">
        <v>86</v>
      </c>
      <c r="B142" s="7">
        <v>30</v>
      </c>
      <c r="C142" s="7">
        <v>32</v>
      </c>
      <c r="D142" s="7">
        <v>46</v>
      </c>
      <c r="E142" s="7">
        <v>59</v>
      </c>
      <c r="F142" s="7">
        <v>93</v>
      </c>
      <c r="G142" s="7">
        <v>125</v>
      </c>
      <c r="H142" s="7">
        <v>154</v>
      </c>
      <c r="I142" s="8">
        <v>165</v>
      </c>
      <c r="J142" s="8">
        <v>167</v>
      </c>
      <c r="K142" s="7">
        <v>163</v>
      </c>
      <c r="L142" s="7">
        <v>89</v>
      </c>
      <c r="M142" s="7">
        <v>91</v>
      </c>
      <c r="N142" s="7">
        <v>25</v>
      </c>
      <c r="O142" t="s">
        <v>86</v>
      </c>
    </row>
    <row r="143" spans="1:15" x14ac:dyDescent="0.3">
      <c r="A143" t="s">
        <v>87</v>
      </c>
      <c r="B143" s="7">
        <v>210</v>
      </c>
      <c r="C143" s="7">
        <v>256</v>
      </c>
      <c r="D143" s="7">
        <v>414</v>
      </c>
      <c r="E143" s="7">
        <v>590</v>
      </c>
      <c r="F143" s="7">
        <v>1116</v>
      </c>
      <c r="G143" s="7">
        <v>1875</v>
      </c>
      <c r="H143" s="7">
        <v>3234</v>
      </c>
      <c r="I143" s="8">
        <v>4125</v>
      </c>
      <c r="J143" s="8">
        <v>4676</v>
      </c>
      <c r="K143" s="7">
        <v>4890</v>
      </c>
      <c r="L143" s="7">
        <v>3115</v>
      </c>
      <c r="M143" s="7">
        <v>3640</v>
      </c>
      <c r="N143" s="7">
        <v>1050</v>
      </c>
      <c r="O143" t="s">
        <v>87</v>
      </c>
    </row>
    <row r="144" spans="1:15" x14ac:dyDescent="0.3">
      <c r="A144" t="s">
        <v>93</v>
      </c>
      <c r="B144" s="7" t="s">
        <v>94</v>
      </c>
      <c r="C144" s="7" t="s">
        <v>95</v>
      </c>
      <c r="D144" s="7" t="s">
        <v>95</v>
      </c>
      <c r="E144" s="7" t="s">
        <v>95</v>
      </c>
      <c r="F144" s="7" t="s">
        <v>96</v>
      </c>
      <c r="G144" s="7" t="s">
        <v>97</v>
      </c>
      <c r="H144" s="7" t="s">
        <v>94</v>
      </c>
      <c r="I144" s="8" t="s">
        <v>99</v>
      </c>
      <c r="J144" s="8" t="s">
        <v>100</v>
      </c>
      <c r="K144" s="7" t="s">
        <v>101</v>
      </c>
      <c r="L144" s="7" t="s">
        <v>102</v>
      </c>
      <c r="M144" s="7" t="s">
        <v>45</v>
      </c>
      <c r="N144" s="7" t="s">
        <v>103</v>
      </c>
      <c r="O144" t="s">
        <v>93</v>
      </c>
    </row>
    <row r="145" spans="1:22" x14ac:dyDescent="0.3">
      <c r="A145" t="s">
        <v>88</v>
      </c>
      <c r="B145" s="7" t="s">
        <v>89</v>
      </c>
      <c r="C145" s="7" t="s">
        <v>89</v>
      </c>
      <c r="D145" s="7" t="s">
        <v>89</v>
      </c>
      <c r="E145" s="7" t="s">
        <v>89</v>
      </c>
      <c r="F145" s="7" t="s">
        <v>89</v>
      </c>
      <c r="G145" s="7" t="s">
        <v>98</v>
      </c>
      <c r="H145" s="7" t="s">
        <v>98</v>
      </c>
      <c r="I145" s="8" t="s">
        <v>98</v>
      </c>
      <c r="J145" s="8" t="s">
        <v>89</v>
      </c>
      <c r="K145" s="7" t="s">
        <v>89</v>
      </c>
      <c r="L145" s="7" t="s">
        <v>89</v>
      </c>
      <c r="M145" s="7" t="s">
        <v>45</v>
      </c>
      <c r="N145" s="7" t="s">
        <v>98</v>
      </c>
      <c r="O145" t="s">
        <v>88</v>
      </c>
    </row>
    <row r="146" spans="1:22" x14ac:dyDescent="0.3">
      <c r="A146" t="s">
        <v>50</v>
      </c>
      <c r="B146" s="8">
        <v>1713</v>
      </c>
      <c r="C146" s="8">
        <v>1966</v>
      </c>
      <c r="D146" s="8">
        <v>3149</v>
      </c>
      <c r="E146" s="8">
        <v>3677</v>
      </c>
      <c r="F146">
        <v>6497</v>
      </c>
      <c r="G146">
        <v>13222</v>
      </c>
      <c r="H146">
        <v>23956</v>
      </c>
      <c r="I146">
        <v>35142</v>
      </c>
      <c r="J146">
        <v>39977</v>
      </c>
      <c r="K146">
        <v>33533</v>
      </c>
      <c r="L146">
        <v>26349</v>
      </c>
      <c r="M146" s="7" t="s">
        <v>45</v>
      </c>
      <c r="N146">
        <v>8953</v>
      </c>
      <c r="O146" t="s">
        <v>50</v>
      </c>
      <c r="R146" t="s">
        <v>27</v>
      </c>
      <c r="T146" t="s">
        <v>0</v>
      </c>
      <c r="V146" t="s">
        <v>26</v>
      </c>
    </row>
    <row r="147" spans="1:22" x14ac:dyDescent="0.3">
      <c r="A147" t="s">
        <v>51</v>
      </c>
      <c r="B147" s="8">
        <v>1632</v>
      </c>
      <c r="C147" s="8">
        <v>2031</v>
      </c>
      <c r="D147" s="8">
        <v>3068</v>
      </c>
      <c r="E147" s="8">
        <v>3322</v>
      </c>
      <c r="F147">
        <v>6027</v>
      </c>
      <c r="G147">
        <v>11915</v>
      </c>
      <c r="H147">
        <v>22637</v>
      </c>
      <c r="I147">
        <v>32098</v>
      </c>
      <c r="J147">
        <v>35670</v>
      </c>
      <c r="K147">
        <v>34496</v>
      </c>
      <c r="L147">
        <v>25271</v>
      </c>
      <c r="M147" s="7" t="s">
        <v>45</v>
      </c>
      <c r="N147">
        <v>9003</v>
      </c>
      <c r="O147" t="s">
        <v>51</v>
      </c>
      <c r="Q147" t="s">
        <v>50</v>
      </c>
      <c r="R147">
        <v>1768</v>
      </c>
      <c r="S147" t="s">
        <v>50</v>
      </c>
      <c r="T147">
        <v>1790</v>
      </c>
      <c r="U147" t="s">
        <v>50</v>
      </c>
      <c r="V147">
        <v>1766</v>
      </c>
    </row>
    <row r="148" spans="1:22" x14ac:dyDescent="0.3">
      <c r="A148" t="s">
        <v>85</v>
      </c>
      <c r="B148" s="8">
        <v>74168</v>
      </c>
      <c r="C148" s="8">
        <v>74014</v>
      </c>
      <c r="D148" s="8">
        <v>136986</v>
      </c>
      <c r="E148" s="8">
        <v>148030</v>
      </c>
      <c r="F148">
        <v>337583</v>
      </c>
      <c r="G148">
        <v>388942</v>
      </c>
      <c r="H148">
        <v>752213</v>
      </c>
      <c r="I148">
        <v>1107399</v>
      </c>
      <c r="J148">
        <v>922383</v>
      </c>
      <c r="K148">
        <v>1892849</v>
      </c>
      <c r="L148">
        <v>1129074</v>
      </c>
      <c r="M148" s="7" t="s">
        <v>45</v>
      </c>
      <c r="N148">
        <v>445200</v>
      </c>
      <c r="O148" t="s">
        <v>85</v>
      </c>
      <c r="Q148" t="s">
        <v>51</v>
      </c>
      <c r="R148">
        <v>1837</v>
      </c>
      <c r="S148" t="s">
        <v>51</v>
      </c>
      <c r="T148">
        <v>1913</v>
      </c>
      <c r="U148" t="s">
        <v>51</v>
      </c>
      <c r="V148">
        <v>1863</v>
      </c>
    </row>
    <row r="149" spans="1:22" x14ac:dyDescent="0.3">
      <c r="A149" t="s">
        <v>90</v>
      </c>
      <c r="B149" s="8">
        <f>1713/210</f>
        <v>8.1571428571428566</v>
      </c>
      <c r="C149" s="8">
        <f>1966/256</f>
        <v>7.6796875</v>
      </c>
      <c r="D149" s="8">
        <f>3149/414</f>
        <v>7.6062801932367146</v>
      </c>
      <c r="E149" s="8">
        <f>3677/590</f>
        <v>6.2322033898305085</v>
      </c>
      <c r="F149">
        <f>6497/1116</f>
        <v>5.8216845878136203</v>
      </c>
      <c r="G149">
        <f>13222/1875</f>
        <v>7.051733333333333</v>
      </c>
      <c r="H149">
        <f>23956/3234</f>
        <v>7.4075448361162648</v>
      </c>
      <c r="I149">
        <f>35142/4125</f>
        <v>8.5192727272727264</v>
      </c>
      <c r="J149">
        <f>39977/4676</f>
        <v>8.5494011976047908</v>
      </c>
      <c r="K149">
        <f>33533/4890</f>
        <v>6.8574642126789369</v>
      </c>
      <c r="L149">
        <f>26349/3115</f>
        <v>8.4587479935794541</v>
      </c>
      <c r="M149" s="7" t="s">
        <v>45</v>
      </c>
      <c r="N149">
        <f>8953/1050</f>
        <v>8.5266666666666673</v>
      </c>
      <c r="O149" t="s">
        <v>90</v>
      </c>
      <c r="Q149" t="s">
        <v>52</v>
      </c>
      <c r="R149">
        <v>875</v>
      </c>
      <c r="S149" t="s">
        <v>52</v>
      </c>
      <c r="T149">
        <v>695</v>
      </c>
      <c r="U149" t="s">
        <v>52</v>
      </c>
      <c r="V149">
        <v>867</v>
      </c>
    </row>
    <row r="150" spans="1:22" x14ac:dyDescent="0.3">
      <c r="A150" t="s">
        <v>91</v>
      </c>
      <c r="B150" s="8">
        <f>1632/210</f>
        <v>7.7714285714285714</v>
      </c>
      <c r="C150" s="8">
        <f>2031/256</f>
        <v>7.93359375</v>
      </c>
      <c r="D150" s="8">
        <f>3068/414</f>
        <v>7.4106280193236715</v>
      </c>
      <c r="E150" s="8">
        <f>3322/590</f>
        <v>5.6305084745762715</v>
      </c>
      <c r="F150">
        <f>6027/1116</f>
        <v>5.400537634408602</v>
      </c>
      <c r="G150">
        <f>11915/1875</f>
        <v>6.3546666666666667</v>
      </c>
      <c r="H150">
        <f>22637/3234</f>
        <v>6.9996907854050709</v>
      </c>
      <c r="I150">
        <f>32098/4125</f>
        <v>7.7813333333333334</v>
      </c>
      <c r="J150">
        <f>35670/4676</f>
        <v>7.6283147989734816</v>
      </c>
      <c r="K150">
        <f>34496/4890</f>
        <v>7.0543967280163598</v>
      </c>
      <c r="L150">
        <f>25271/3115</f>
        <v>8.1126805778491171</v>
      </c>
      <c r="M150" s="7" t="s">
        <v>45</v>
      </c>
      <c r="N150">
        <f>9003/1050</f>
        <v>8.5742857142857147</v>
      </c>
      <c r="O150" t="s">
        <v>91</v>
      </c>
    </row>
    <row r="151" spans="1:22" x14ac:dyDescent="0.3">
      <c r="A151" t="s">
        <v>92</v>
      </c>
      <c r="B151" s="8">
        <f>74168/210</f>
        <v>353.18095238095236</v>
      </c>
      <c r="C151" s="8">
        <f>74014/256</f>
        <v>289.1171875</v>
      </c>
      <c r="D151" s="8">
        <f>136986/414</f>
        <v>330.8840579710145</v>
      </c>
      <c r="E151" s="8">
        <f>148030/590</f>
        <v>250.89830508474577</v>
      </c>
      <c r="F151">
        <f>337583/1116</f>
        <v>302.4937275985663</v>
      </c>
      <c r="G151">
        <f>388942/1875</f>
        <v>207.43573333333333</v>
      </c>
      <c r="H151">
        <f>752213/3234</f>
        <v>232.5952380952381</v>
      </c>
      <c r="I151">
        <f>1107399/4125</f>
        <v>268.46036363636364</v>
      </c>
      <c r="J151">
        <f>922383/4676</f>
        <v>197.25898203592814</v>
      </c>
      <c r="K151">
        <f>1892849/4890</f>
        <v>387.08568507157463</v>
      </c>
      <c r="L151">
        <f>1129074/3115</f>
        <v>362.46356340288924</v>
      </c>
      <c r="M151" s="7" t="s">
        <v>45</v>
      </c>
      <c r="N151">
        <f>445200/1050</f>
        <v>424</v>
      </c>
      <c r="O151" t="s">
        <v>92</v>
      </c>
    </row>
    <row r="154" spans="1:22" x14ac:dyDescent="0.3">
      <c r="A154" t="s">
        <v>25</v>
      </c>
      <c r="B154" t="s">
        <v>104</v>
      </c>
      <c r="C154" t="s">
        <v>105</v>
      </c>
      <c r="D154" t="s">
        <v>107</v>
      </c>
    </row>
    <row r="155" spans="1:22" x14ac:dyDescent="0.3">
      <c r="A155" t="s">
        <v>106</v>
      </c>
      <c r="B155">
        <v>104</v>
      </c>
      <c r="C155">
        <v>204</v>
      </c>
      <c r="D155">
        <v>511</v>
      </c>
      <c r="E155">
        <v>1037</v>
      </c>
      <c r="F155">
        <v>1568</v>
      </c>
      <c r="G155">
        <v>2149</v>
      </c>
      <c r="H155">
        <v>2657</v>
      </c>
      <c r="I155">
        <v>3075</v>
      </c>
      <c r="J155">
        <v>3505</v>
      </c>
      <c r="K155">
        <v>4025</v>
      </c>
      <c r="L155">
        <v>5043</v>
      </c>
      <c r="M155">
        <v>6085</v>
      </c>
    </row>
    <row r="156" spans="1:22" x14ac:dyDescent="0.3">
      <c r="A156" t="s">
        <v>50</v>
      </c>
      <c r="B156">
        <v>851</v>
      </c>
      <c r="C156">
        <v>1821</v>
      </c>
      <c r="D156">
        <v>4617</v>
      </c>
      <c r="E156">
        <v>9044</v>
      </c>
      <c r="F156">
        <v>14108</v>
      </c>
      <c r="G156">
        <v>18991</v>
      </c>
      <c r="H156">
        <v>23556</v>
      </c>
      <c r="I156">
        <v>27895</v>
      </c>
      <c r="J156">
        <v>31368</v>
      </c>
      <c r="K156" t="s">
        <v>45</v>
      </c>
      <c r="L156" t="s">
        <v>45</v>
      </c>
      <c r="M156" t="s">
        <v>45</v>
      </c>
    </row>
    <row r="157" spans="1:22" x14ac:dyDescent="0.3">
      <c r="A157" t="s">
        <v>51</v>
      </c>
      <c r="B157">
        <v>865</v>
      </c>
      <c r="C157">
        <v>1646</v>
      </c>
      <c r="D157">
        <v>4454</v>
      </c>
      <c r="E157">
        <v>8634</v>
      </c>
      <c r="F157">
        <v>12212</v>
      </c>
      <c r="G157">
        <v>17782</v>
      </c>
      <c r="H157">
        <v>21449</v>
      </c>
      <c r="I157">
        <v>25804</v>
      </c>
      <c r="J157">
        <v>28934</v>
      </c>
      <c r="K157" t="s">
        <v>45</v>
      </c>
      <c r="L157" t="s">
        <v>45</v>
      </c>
      <c r="M157" t="s">
        <v>45</v>
      </c>
    </row>
    <row r="158" spans="1:22" x14ac:dyDescent="0.3">
      <c r="A158" t="s">
        <v>85</v>
      </c>
      <c r="B158">
        <v>58649</v>
      </c>
      <c r="C158">
        <v>79523</v>
      </c>
      <c r="D158">
        <v>182057</v>
      </c>
      <c r="E158">
        <v>401520</v>
      </c>
      <c r="F158">
        <v>617231</v>
      </c>
      <c r="G158">
        <v>763670</v>
      </c>
      <c r="H158">
        <v>1104941</v>
      </c>
      <c r="I158">
        <v>1039116</v>
      </c>
      <c r="J158">
        <v>1490343</v>
      </c>
      <c r="K158" t="s">
        <v>45</v>
      </c>
      <c r="L158" t="s">
        <v>45</v>
      </c>
      <c r="M158" t="s">
        <v>45</v>
      </c>
    </row>
    <row r="159" spans="1:22" x14ac:dyDescent="0.3">
      <c r="A159" t="s">
        <v>90</v>
      </c>
      <c r="B159">
        <f>851/104</f>
        <v>8.1826923076923084</v>
      </c>
      <c r="C159">
        <f>1821/204</f>
        <v>8.9264705882352935</v>
      </c>
      <c r="D159">
        <f>4617/511</f>
        <v>9.0352250489236798</v>
      </c>
      <c r="E159">
        <f>9044/1037</f>
        <v>8.721311475409836</v>
      </c>
      <c r="F159">
        <f>14108/1568</f>
        <v>8.9974489795918373</v>
      </c>
      <c r="G159">
        <f>18991/2149</f>
        <v>8.8371335504886002</v>
      </c>
      <c r="H159">
        <f>23556/2657</f>
        <v>8.8656379375235232</v>
      </c>
      <c r="I159">
        <f>27895/3075</f>
        <v>9.0715447154471551</v>
      </c>
      <c r="J159">
        <f>31368/3505</f>
        <v>8.9495007132667617</v>
      </c>
      <c r="K159" t="s">
        <v>45</v>
      </c>
      <c r="L159" t="s">
        <v>45</v>
      </c>
      <c r="M159" t="s">
        <v>45</v>
      </c>
    </row>
    <row r="160" spans="1:22" x14ac:dyDescent="0.3">
      <c r="A160" t="s">
        <v>91</v>
      </c>
      <c r="B160">
        <f>865/104</f>
        <v>8.3173076923076916</v>
      </c>
      <c r="C160">
        <f>1646/204</f>
        <v>8.0686274509803919</v>
      </c>
      <c r="D160">
        <f>4454/511</f>
        <v>8.7162426614481401</v>
      </c>
      <c r="E160">
        <f>8634/1037</f>
        <v>8.3259402121504333</v>
      </c>
      <c r="F160">
        <f>12212/1568</f>
        <v>7.7882653061224492</v>
      </c>
      <c r="G160">
        <f>17782/2149</f>
        <v>8.274546300604932</v>
      </c>
      <c r="H160">
        <f>21449/2657</f>
        <v>8.0726383138878433</v>
      </c>
      <c r="I160">
        <f>25804/3075</f>
        <v>8.3915447154471536</v>
      </c>
      <c r="J160">
        <f>28934/3505</f>
        <v>8.2550641940085594</v>
      </c>
      <c r="K160" t="s">
        <v>45</v>
      </c>
      <c r="L160" t="s">
        <v>45</v>
      </c>
      <c r="M160" t="s">
        <v>45</v>
      </c>
    </row>
    <row r="161" spans="1:13" x14ac:dyDescent="0.3">
      <c r="A161" t="s">
        <v>92</v>
      </c>
      <c r="B161">
        <f>58649/104</f>
        <v>563.93269230769226</v>
      </c>
      <c r="C161">
        <f>79523/204</f>
        <v>389.81862745098039</v>
      </c>
      <c r="D161">
        <f>182057/511</f>
        <v>356.27592954990217</v>
      </c>
      <c r="E161">
        <f>401520/1037</f>
        <v>387.19382835101254</v>
      </c>
      <c r="F161">
        <f>617231/1568</f>
        <v>393.64221938775512</v>
      </c>
      <c r="G161">
        <f>763670/2149</f>
        <v>355.36063285248952</v>
      </c>
      <c r="H161">
        <f>1104941/2657</f>
        <v>415.86036883703423</v>
      </c>
      <c r="I161">
        <f>1039116/3075</f>
        <v>337.9239024390244</v>
      </c>
      <c r="J161">
        <f>1490343/3505</f>
        <v>425.20485021398002</v>
      </c>
      <c r="K161" t="s">
        <v>45</v>
      </c>
      <c r="L161" t="s">
        <v>45</v>
      </c>
      <c r="M161" t="s">
        <v>45</v>
      </c>
    </row>
    <row r="163" spans="1:13" x14ac:dyDescent="0.3">
      <c r="A163" t="s">
        <v>108</v>
      </c>
    </row>
    <row r="164" spans="1:13" x14ac:dyDescent="0.3">
      <c r="A164" t="s">
        <v>106</v>
      </c>
      <c r="B164">
        <v>3505</v>
      </c>
    </row>
    <row r="165" spans="1:13" x14ac:dyDescent="0.3">
      <c r="A165" t="s">
        <v>50</v>
      </c>
      <c r="B165">
        <v>25848</v>
      </c>
    </row>
    <row r="166" spans="1:13" x14ac:dyDescent="0.3">
      <c r="A166" t="s">
        <v>51</v>
      </c>
      <c r="B166">
        <v>22713</v>
      </c>
    </row>
    <row r="167" spans="1:13" x14ac:dyDescent="0.3">
      <c r="A167" t="s">
        <v>85</v>
      </c>
      <c r="B167">
        <v>776138</v>
      </c>
    </row>
    <row r="168" spans="1:13" x14ac:dyDescent="0.3">
      <c r="A168" t="s">
        <v>90</v>
      </c>
      <c r="B168">
        <f>25848/3505</f>
        <v>7.3746077032810273</v>
      </c>
    </row>
    <row r="169" spans="1:13" x14ac:dyDescent="0.3">
      <c r="A169" t="s">
        <v>91</v>
      </c>
      <c r="B169">
        <f>22713/3505</f>
        <v>6.4801711840228249</v>
      </c>
    </row>
    <row r="170" spans="1:13" x14ac:dyDescent="0.3">
      <c r="A170" t="s">
        <v>92</v>
      </c>
      <c r="B170">
        <f>776138/3505</f>
        <v>221.4373751783167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2022-06-17T21:32:05Z</dcterms:modified>
</cp:coreProperties>
</file>