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\Antarctic-Food-Optimisation\Documentation\"/>
    </mc:Choice>
  </mc:AlternateContent>
  <xr:revisionPtr revIDLastSave="0" documentId="13_ncr:1_{247630EE-6275-4999-A277-0800DC5A4206}" xr6:coauthVersionLast="47" xr6:coauthVersionMax="47" xr10:uidLastSave="{00000000-0000-0000-0000-000000000000}"/>
  <bookViews>
    <workbookView xWindow="-108" yWindow="-108" windowWidth="23256" windowHeight="12456" xr2:uid="{472969AF-E492-4476-AC40-D4572065F6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0" i="1" l="1"/>
  <c r="B179" i="1"/>
  <c r="B178" i="1"/>
  <c r="J180" i="1"/>
  <c r="J179" i="1"/>
  <c r="J178" i="1"/>
  <c r="J170" i="1"/>
  <c r="I170" i="1"/>
  <c r="H170" i="1"/>
  <c r="G170" i="1"/>
  <c r="F170" i="1"/>
  <c r="E170" i="1"/>
  <c r="J169" i="1"/>
  <c r="I169" i="1"/>
  <c r="H169" i="1"/>
  <c r="G169" i="1"/>
  <c r="F169" i="1"/>
  <c r="E169" i="1"/>
  <c r="J168" i="1"/>
  <c r="I168" i="1"/>
  <c r="H168" i="1"/>
  <c r="G168" i="1"/>
  <c r="F168" i="1"/>
  <c r="E168" i="1"/>
  <c r="D170" i="1" l="1"/>
  <c r="D169" i="1"/>
  <c r="D168" i="1"/>
  <c r="C170" i="1"/>
  <c r="B170" i="1"/>
  <c r="C169" i="1"/>
  <c r="B169" i="1"/>
  <c r="C168" i="1"/>
  <c r="B168" i="1"/>
  <c r="C161" i="1"/>
  <c r="C160" i="1"/>
  <c r="C159" i="1"/>
  <c r="B161" i="1"/>
  <c r="B160" i="1"/>
  <c r="B159" i="1"/>
  <c r="J161" i="1"/>
  <c r="J160" i="1"/>
  <c r="J159" i="1"/>
  <c r="I161" i="1"/>
  <c r="I160" i="1"/>
  <c r="I159" i="1"/>
  <c r="H161" i="1"/>
  <c r="H160" i="1"/>
  <c r="H159" i="1"/>
  <c r="G161" i="1"/>
  <c r="G160" i="1"/>
  <c r="G159" i="1"/>
  <c r="F161" i="1"/>
  <c r="F160" i="1"/>
  <c r="F159" i="1"/>
  <c r="E161" i="1"/>
  <c r="E160" i="1"/>
  <c r="E159" i="1"/>
  <c r="D161" i="1"/>
  <c r="D160" i="1"/>
  <c r="D159" i="1"/>
  <c r="N151" i="1"/>
  <c r="N150" i="1"/>
  <c r="N149" i="1"/>
  <c r="L151" i="1"/>
  <c r="L150" i="1"/>
  <c r="L149" i="1"/>
  <c r="K151" i="1"/>
  <c r="K150" i="1"/>
  <c r="K149" i="1"/>
  <c r="J151" i="1"/>
  <c r="J150" i="1"/>
  <c r="J149" i="1"/>
  <c r="I151" i="1"/>
  <c r="I150" i="1"/>
  <c r="I149" i="1"/>
  <c r="H151" i="1"/>
  <c r="H150" i="1"/>
  <c r="H149" i="1"/>
  <c r="G151" i="1"/>
  <c r="G150" i="1"/>
  <c r="G149" i="1"/>
  <c r="F151" i="1"/>
  <c r="F150" i="1"/>
  <c r="F149" i="1"/>
  <c r="E151" i="1"/>
  <c r="E150" i="1"/>
  <c r="E149" i="1"/>
  <c r="D151" i="1"/>
  <c r="D150" i="1"/>
  <c r="D149" i="1"/>
  <c r="C150" i="1" l="1"/>
  <c r="C151" i="1"/>
  <c r="C149" i="1"/>
  <c r="B151" i="1"/>
  <c r="B150" i="1"/>
  <c r="B149" i="1"/>
  <c r="C137" i="1"/>
  <c r="D137" i="1"/>
  <c r="E137" i="1"/>
  <c r="F137" i="1"/>
  <c r="G137" i="1"/>
  <c r="H137" i="1"/>
  <c r="I137" i="1"/>
  <c r="J137" i="1"/>
  <c r="K137" i="1"/>
  <c r="B137" i="1"/>
  <c r="O73" i="1"/>
  <c r="O72" i="1"/>
  <c r="L73" i="1"/>
  <c r="M73" i="1"/>
  <c r="N73" i="1"/>
  <c r="K73" i="1"/>
  <c r="N72" i="1"/>
  <c r="L72" i="1"/>
  <c r="M72" i="1"/>
  <c r="K72" i="1"/>
  <c r="B111" i="1"/>
  <c r="C111" i="1"/>
  <c r="D111" i="1"/>
  <c r="I103" i="1"/>
  <c r="H103" i="1"/>
  <c r="G103" i="1"/>
  <c r="F103" i="1"/>
  <c r="E103" i="1"/>
  <c r="D103" i="1"/>
  <c r="C103" i="1"/>
  <c r="B103" i="1"/>
  <c r="E111" i="1"/>
  <c r="C54" i="1"/>
  <c r="D54" i="1"/>
  <c r="E54" i="1"/>
  <c r="F54" i="1"/>
  <c r="G54" i="1"/>
  <c r="H54" i="1"/>
  <c r="I54" i="1"/>
  <c r="J54" i="1"/>
  <c r="B54" i="1"/>
  <c r="R13" i="1"/>
  <c r="R12" i="1"/>
  <c r="R11" i="1"/>
  <c r="R10" i="1"/>
  <c r="R9" i="1"/>
  <c r="Q13" i="1"/>
  <c r="Q12" i="1"/>
  <c r="Q11" i="1"/>
  <c r="Q10" i="1"/>
  <c r="Q9" i="1"/>
  <c r="P13" i="1"/>
  <c r="P12" i="1"/>
  <c r="P11" i="1"/>
  <c r="P10" i="1"/>
  <c r="P9" i="1"/>
  <c r="O13" i="1"/>
  <c r="O12" i="1"/>
  <c r="O11" i="1"/>
  <c r="O10" i="1"/>
  <c r="O9" i="1"/>
  <c r="N13" i="1"/>
  <c r="N12" i="1"/>
  <c r="N11" i="1"/>
  <c r="N10" i="1"/>
  <c r="N9" i="1"/>
  <c r="B9" i="1"/>
  <c r="B10" i="1"/>
  <c r="B11" i="1"/>
  <c r="B12" i="1"/>
  <c r="M13" i="1"/>
  <c r="M12" i="1"/>
  <c r="M11" i="1"/>
  <c r="M10" i="1"/>
  <c r="M9" i="1"/>
  <c r="K13" i="1"/>
  <c r="K12" i="1"/>
  <c r="K11" i="1"/>
  <c r="K10" i="1"/>
  <c r="K9" i="1"/>
  <c r="J13" i="1"/>
  <c r="J12" i="1"/>
  <c r="J11" i="1"/>
  <c r="J10" i="1"/>
  <c r="J9" i="1"/>
  <c r="I13" i="1"/>
  <c r="I12" i="1"/>
  <c r="I11" i="1"/>
  <c r="I10" i="1"/>
  <c r="I9" i="1"/>
  <c r="H12" i="1"/>
  <c r="H13" i="1"/>
  <c r="H11" i="1"/>
  <c r="H10" i="1"/>
  <c r="H9" i="1"/>
  <c r="G13" i="1"/>
  <c r="G12" i="1"/>
  <c r="G11" i="1"/>
  <c r="G10" i="1"/>
  <c r="G9" i="1"/>
  <c r="F13" i="1"/>
  <c r="F12" i="1"/>
  <c r="F11" i="1"/>
  <c r="F10" i="1"/>
  <c r="E13" i="1"/>
  <c r="E12" i="1"/>
  <c r="E11" i="1"/>
  <c r="E10" i="1"/>
  <c r="E9" i="1"/>
  <c r="F9" i="1"/>
  <c r="D13" i="1"/>
  <c r="D12" i="1"/>
  <c r="D11" i="1"/>
  <c r="D10" i="1"/>
  <c r="D9" i="1"/>
  <c r="C13" i="1"/>
  <c r="C12" i="1"/>
  <c r="C11" i="1"/>
  <c r="C10" i="1"/>
  <c r="C9" i="1"/>
  <c r="B13" i="1"/>
  <c r="L13" i="1"/>
  <c r="L12" i="1"/>
  <c r="L11" i="1"/>
  <c r="L10" i="1"/>
  <c r="L9" i="1"/>
</calcChain>
</file>

<file path=xl/sharedStrings.xml><?xml version="1.0" encoding="utf-8"?>
<sst xmlns="http://schemas.openxmlformats.org/spreadsheetml/2006/main" count="303" uniqueCount="111">
  <si>
    <t>cals</t>
  </si>
  <si>
    <t>Benchmarks for all meals, 1 week, 20 people with a range of diets</t>
  </si>
  <si>
    <t>3 meal choices, 4 breakfast choices, 1 side, 1 dessert</t>
  </si>
  <si>
    <t>same options for lunch and tea, diff each day of the week</t>
  </si>
  <si>
    <t>cost / pennies</t>
  </si>
  <si>
    <t>emissions / kg CO2e</t>
  </si>
  <si>
    <t>carbs / g</t>
  </si>
  <si>
    <t>fat / g</t>
  </si>
  <si>
    <t>fibre / g</t>
  </si>
  <si>
    <t>protein / g</t>
  </si>
  <si>
    <t>extra protein / g</t>
  </si>
  <si>
    <t>extra fibre / g</t>
  </si>
  <si>
    <t>extra fat / g</t>
  </si>
  <si>
    <t>extra carbs / g</t>
  </si>
  <si>
    <t>extra cals</t>
  </si>
  <si>
    <t>Required nutrients</t>
  </si>
  <si>
    <t>None (1st satisfy)</t>
  </si>
  <si>
    <t>mins</t>
  </si>
  <si>
    <t>objective fn</t>
  </si>
  <si>
    <t>min emissions</t>
  </si>
  <si>
    <t>min cost + emissions</t>
  </si>
  <si>
    <t>min cost + emissions + cals</t>
  </si>
  <si>
    <t>min emissions * 100 + cals</t>
  </si>
  <si>
    <t xml:space="preserve">min emissions + cost + cals*10 + fat*100 </t>
  </si>
  <si>
    <t>cost / £</t>
  </si>
  <si>
    <t>Gecode</t>
  </si>
  <si>
    <t>cost</t>
  </si>
  <si>
    <t>emissions</t>
  </si>
  <si>
    <t>variety lack</t>
  </si>
  <si>
    <t>sum all</t>
  </si>
  <si>
    <t>mulitply all, scaled down</t>
  </si>
  <si>
    <t>objective fn (minimise)</t>
  </si>
  <si>
    <t>None</t>
  </si>
  <si>
    <t>1 minute</t>
  </si>
  <si>
    <t>vareity lack</t>
  </si>
  <si>
    <t>personnel</t>
  </si>
  <si>
    <t>calories (proxy for food waste)</t>
  </si>
  <si>
    <t>varietylack * 100000 + emissions</t>
  </si>
  <si>
    <t>varietylack * emissions</t>
  </si>
  <si>
    <t>varietylack * emissions * cost</t>
  </si>
  <si>
    <t>varietylack * emissions * cost * calories * 0.0000000000001</t>
  </si>
  <si>
    <t>varietylack + emissions + cost + calories</t>
  </si>
  <si>
    <t>varietylack * 1000000 + emissions + cost + calories * 100</t>
  </si>
  <si>
    <t>cals (food waste)</t>
  </si>
  <si>
    <t>4.75 seconds</t>
  </si>
  <si>
    <t>unable to compute</t>
  </si>
  <si>
    <t>30/05/2022</t>
  </si>
  <si>
    <t>total rank</t>
  </si>
  <si>
    <t>sum ranks</t>
  </si>
  <si>
    <t>10th Jun</t>
  </si>
  <si>
    <t>cost £</t>
  </si>
  <si>
    <t>emissions kg</t>
  </si>
  <si>
    <t>food waste cals</t>
  </si>
  <si>
    <t>occupancy data 10 days</t>
  </si>
  <si>
    <t>occupancy data 50 days</t>
  </si>
  <si>
    <t>2hrs</t>
  </si>
  <si>
    <t>3hrs</t>
  </si>
  <si>
    <t xml:space="preserve">1hr </t>
  </si>
  <si>
    <t>occupancy data 60 days</t>
  </si>
  <si>
    <t>time</t>
  </si>
  <si>
    <t>same 10 days repeated x 5 then / 5 to compare scalability</t>
  </si>
  <si>
    <t>occupancy data 30 days</t>
  </si>
  <si>
    <t>occupancy data 40 days</t>
  </si>
  <si>
    <t>&lt;-----------</t>
  </si>
  <si>
    <t>occupancy data 20 days</t>
  </si>
  <si>
    <t>occupancy data</t>
  </si>
  <si>
    <t>num days</t>
  </si>
  <si>
    <t>soln improves over time</t>
  </si>
  <si>
    <t>y</t>
  </si>
  <si>
    <t>n</t>
  </si>
  <si>
    <t>occupancy data 7 days</t>
  </si>
  <si>
    <t>cost + emissions + cals</t>
  </si>
  <si>
    <t>relaxed constraints</t>
  </si>
  <si>
    <t>30 s</t>
  </si>
  <si>
    <t>cost + emissions*10 + cals * 1000</t>
  </si>
  <si>
    <t xml:space="preserve">cost + emissions + cals * 100 </t>
  </si>
  <si>
    <t>cost*10 + emissions + cals*100</t>
  </si>
  <si>
    <t>cost*10 + emissions + cals*1000</t>
  </si>
  <si>
    <t>sum(nutritionServed)</t>
  </si>
  <si>
    <t>cost + emissions + sum(nutrition)</t>
  </si>
  <si>
    <t>scaled avg</t>
  </si>
  <si>
    <t>13th Jun</t>
  </si>
  <si>
    <t>15th Jun</t>
  </si>
  <si>
    <t>Batch size</t>
  </si>
  <si>
    <t>10 min</t>
  </si>
  <si>
    <t>food waste sum nutrients</t>
  </si>
  <si>
    <t>max num people</t>
  </si>
  <si>
    <t>days x people</t>
  </si>
  <si>
    <t>imporved over time</t>
  </si>
  <si>
    <t>yes</t>
  </si>
  <si>
    <t>cost/(days x people)</t>
  </si>
  <si>
    <t>emissions /(days x people)</t>
  </si>
  <si>
    <t>food waste /(days x people)</t>
  </si>
  <si>
    <t>satisfiability time</t>
  </si>
  <si>
    <t>12 s</t>
  </si>
  <si>
    <t>6 s</t>
  </si>
  <si>
    <t xml:space="preserve">8 s </t>
  </si>
  <si>
    <t>1 m 15 s</t>
  </si>
  <si>
    <t>no</t>
  </si>
  <si>
    <t>1m</t>
  </si>
  <si>
    <t>18 s</t>
  </si>
  <si>
    <t>20 s</t>
  </si>
  <si>
    <t>3m 56s</t>
  </si>
  <si>
    <t>27s</t>
  </si>
  <si>
    <t>16th Jun</t>
  </si>
  <si>
    <t>5 min</t>
  </si>
  <si>
    <t>Matrix size</t>
  </si>
  <si>
    <t>test runs</t>
  </si>
  <si>
    <t>actual batch</t>
  </si>
  <si>
    <t>no beef or lamb</t>
  </si>
  <si>
    <t>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</si>
</sst>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9" fontId="0" fillId="0" borderId="0" xfId="0" applyNumberFormat="1"/>
    <xf numFmtId="0" fontId="0" fillId="5" borderId="0" xfId="0" applyFill="1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Sheet1!$A$42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Sheet1!$B$40:$J$40</c:f>
              <c:strCache>
                <c:ptCount val="9"/>
                <c:pt idx="0">
                  <c:v>None</c:v>
                </c:pt>
                <c:pt idx="1">
                  <c:v>vareity lack</c:v>
                </c:pt>
                <c:pt idx="2">
                  <c:v>cost</c:v>
                </c:pt>
                <c:pt idx="3">
                  <c:v>emissions</c:v>
                </c:pt>
                <c:pt idx="4">
                  <c:v>calories (proxy for food waste)</c:v>
                </c:pt>
                <c:pt idx="5">
                  <c:v>varietylack * 100000 + emissions</c:v>
                </c:pt>
                <c:pt idx="6">
                  <c:v>varietylack * emissions</c:v>
                </c:pt>
                <c:pt idx="7">
                  <c:v>varietylack + emissions + cost + calories</c:v>
                </c:pt>
                <c:pt idx="8">
                  <c:v>varietylack * 1000000 + emissions + cost + calories * 100</c:v>
                </c:pt>
              </c:strCache>
            </c:strRef>
          </c:cat>
          <c:val>
            <c:numRef>
              <c:f>Sheet1!$B$42:$J$42</c:f>
              <c:numCache>
                <c:formatCode>General</c:formatCode>
                <c:ptCount val="9"/>
                <c:pt idx="0">
                  <c:v>14346668</c:v>
                </c:pt>
                <c:pt idx="1">
                  <c:v>14700720</c:v>
                </c:pt>
                <c:pt idx="2">
                  <c:v>13665322</c:v>
                </c:pt>
                <c:pt idx="3">
                  <c:v>14234100</c:v>
                </c:pt>
                <c:pt idx="4">
                  <c:v>14222322</c:v>
                </c:pt>
                <c:pt idx="5">
                  <c:v>14234100</c:v>
                </c:pt>
                <c:pt idx="6">
                  <c:v>14234100</c:v>
                </c:pt>
                <c:pt idx="7">
                  <c:v>13967284</c:v>
                </c:pt>
                <c:pt idx="8">
                  <c:v>13986434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6-4368-A409-CD61C5810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971263"/>
        <c:axId val="411975007"/>
      </c:barChart>
      <c:catAx>
        <c:axId val="41197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75007"/>
        <c:crosses val="autoZero"/>
        <c:auto val="1"/>
        <c:lblAlgn val="ctr"/>
        <c:lblOffset val="100"/>
        <c:noMultiLvlLbl val="0"/>
      </c:catAx>
      <c:valAx>
        <c:axId val="41197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7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Sheet1!$A$41</c:f>
              <c:strCache>
                <c:ptCount val="1"/>
                <c:pt idx="0">
                  <c:v>cals (food waste)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Sheet1!$B$40:$J$40</c:f>
              <c:strCache>
                <c:ptCount val="9"/>
                <c:pt idx="0">
                  <c:v>None</c:v>
                </c:pt>
                <c:pt idx="1">
                  <c:v>vareity lack</c:v>
                </c:pt>
                <c:pt idx="2">
                  <c:v>cost</c:v>
                </c:pt>
                <c:pt idx="3">
                  <c:v>emissions</c:v>
                </c:pt>
                <c:pt idx="4">
                  <c:v>calories (proxy for food waste)</c:v>
                </c:pt>
                <c:pt idx="5">
                  <c:v>varietylack * 100000 + emissions</c:v>
                </c:pt>
                <c:pt idx="6">
                  <c:v>varietylack * emissions</c:v>
                </c:pt>
                <c:pt idx="7">
                  <c:v>varietylack + emissions + cost + calories</c:v>
                </c:pt>
                <c:pt idx="8">
                  <c:v>varietylack * 1000000 + emissions + cost + calories * 100</c:v>
                </c:pt>
              </c:strCache>
            </c:strRef>
          </c:cat>
          <c:val>
            <c:numRef>
              <c:f>Sheet1!$B$43:$J$43</c:f>
              <c:numCache>
                <c:formatCode>General</c:formatCode>
                <c:ptCount val="9"/>
                <c:pt idx="0">
                  <c:v>12668638</c:v>
                </c:pt>
                <c:pt idx="1">
                  <c:v>13184610</c:v>
                </c:pt>
                <c:pt idx="2">
                  <c:v>12651894</c:v>
                </c:pt>
                <c:pt idx="3">
                  <c:v>12456526</c:v>
                </c:pt>
                <c:pt idx="4">
                  <c:v>12512566</c:v>
                </c:pt>
                <c:pt idx="5">
                  <c:v>12456526</c:v>
                </c:pt>
                <c:pt idx="6">
                  <c:v>12456526</c:v>
                </c:pt>
                <c:pt idx="7">
                  <c:v>12565198</c:v>
                </c:pt>
                <c:pt idx="8">
                  <c:v>12636718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B-418F-B8E0-613656CAF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760991"/>
        <c:axId val="283759327"/>
      </c:barChart>
      <c:catAx>
        <c:axId val="28376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59327"/>
        <c:crosses val="autoZero"/>
        <c:auto val="1"/>
        <c:lblAlgn val="ctr"/>
        <c:lblOffset val="100"/>
        <c:noMultiLvlLbl val="0"/>
      </c:catAx>
      <c:valAx>
        <c:axId val="28375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6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Sheet1!$A$44</c:f>
              <c:strCache>
                <c:ptCount val="1"/>
                <c:pt idx="0">
                  <c:v>variety lack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Sheet1!$B$40:$J$40</c:f>
              <c:strCache>
                <c:ptCount val="9"/>
                <c:pt idx="0">
                  <c:v>None</c:v>
                </c:pt>
                <c:pt idx="1">
                  <c:v>vareity lack</c:v>
                </c:pt>
                <c:pt idx="2">
                  <c:v>cost</c:v>
                </c:pt>
                <c:pt idx="3">
                  <c:v>emissions</c:v>
                </c:pt>
                <c:pt idx="4">
                  <c:v>calories (proxy for food waste)</c:v>
                </c:pt>
                <c:pt idx="5">
                  <c:v>varietylack * 100000 + emissions</c:v>
                </c:pt>
                <c:pt idx="6">
                  <c:v>varietylack * emissions</c:v>
                </c:pt>
                <c:pt idx="7">
                  <c:v>varietylack + emissions + cost + calories</c:v>
                </c:pt>
                <c:pt idx="8">
                  <c:v>varietylack * 1000000 + emissions + cost + calories * 100</c:v>
                </c:pt>
              </c:strCache>
            </c:strRef>
          </c:cat>
          <c:val>
            <c:numRef>
              <c:f>Sheet1!$B$44:$J$44</c:f>
              <c:numCache>
                <c:formatCode>General</c:formatCode>
                <c:ptCount val="9"/>
                <c:pt idx="0">
                  <c:v>98</c:v>
                </c:pt>
                <c:pt idx="1">
                  <c:v>44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6-4FDA-8BDC-BED9C3F8A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644783"/>
        <c:axId val="626652687"/>
      </c:barChart>
      <c:catAx>
        <c:axId val="62664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52687"/>
        <c:crosses val="autoZero"/>
        <c:auto val="1"/>
        <c:lblAlgn val="ctr"/>
        <c:lblOffset val="100"/>
        <c:noMultiLvlLbl val="0"/>
      </c:catAx>
      <c:valAx>
        <c:axId val="62665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4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Sheet1!$A$46</c:f>
              <c:strCache>
                <c:ptCount val="1"/>
                <c:pt idx="0">
                  <c:v>sum 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Sheet1!$B$40:$J$40</c:f>
              <c:strCache>
                <c:ptCount val="9"/>
                <c:pt idx="0">
                  <c:v>None</c:v>
                </c:pt>
                <c:pt idx="1">
                  <c:v>vareity lack</c:v>
                </c:pt>
                <c:pt idx="2">
                  <c:v>cost</c:v>
                </c:pt>
                <c:pt idx="3">
                  <c:v>emissions</c:v>
                </c:pt>
                <c:pt idx="4">
                  <c:v>calories (proxy for food waste)</c:v>
                </c:pt>
                <c:pt idx="5">
                  <c:v>varietylack * 100000 + emissions</c:v>
                </c:pt>
                <c:pt idx="6">
                  <c:v>varietylack * emissions</c:v>
                </c:pt>
                <c:pt idx="7">
                  <c:v>varietylack + emissions + cost + calories</c:v>
                </c:pt>
                <c:pt idx="8">
                  <c:v>varietylack * 1000000 + emissions + cost + calories * 100</c:v>
                </c:pt>
              </c:strCache>
            </c:strRef>
          </c:cat>
          <c:val>
            <c:numRef>
              <c:f>Sheet1!$B$46:$J$46</c:f>
              <c:numCache>
                <c:formatCode>General</c:formatCode>
                <c:ptCount val="9"/>
                <c:pt idx="0">
                  <c:v>27567080</c:v>
                </c:pt>
                <c:pt idx="1">
                  <c:v>28448529</c:v>
                </c:pt>
                <c:pt idx="2">
                  <c:v>26865505</c:v>
                </c:pt>
                <c:pt idx="3">
                  <c:v>27236938</c:v>
                </c:pt>
                <c:pt idx="4">
                  <c:v>27280991</c:v>
                </c:pt>
                <c:pt idx="5">
                  <c:v>27236938</c:v>
                </c:pt>
                <c:pt idx="6">
                  <c:v>27236938</c:v>
                </c:pt>
                <c:pt idx="7">
                  <c:v>27080933</c:v>
                </c:pt>
                <c:pt idx="8">
                  <c:v>27169351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E-445A-B9FE-B3E72C8A2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327823"/>
        <c:axId val="632331151"/>
      </c:barChart>
      <c:catAx>
        <c:axId val="63232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31151"/>
        <c:crosses val="autoZero"/>
        <c:auto val="1"/>
        <c:lblAlgn val="ctr"/>
        <c:lblOffset val="100"/>
        <c:noMultiLvlLbl val="0"/>
      </c:catAx>
      <c:valAx>
        <c:axId val="63233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2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Sheet1!$B$40:$J$40</c:f>
              <c:strCache>
                <c:ptCount val="9"/>
                <c:pt idx="0">
                  <c:v>None</c:v>
                </c:pt>
                <c:pt idx="1">
                  <c:v>vareity lack</c:v>
                </c:pt>
                <c:pt idx="2">
                  <c:v>cost</c:v>
                </c:pt>
                <c:pt idx="3">
                  <c:v>emissions</c:v>
                </c:pt>
                <c:pt idx="4">
                  <c:v>calories (proxy for food waste)</c:v>
                </c:pt>
                <c:pt idx="5">
                  <c:v>varietylack * 100000 + emissions</c:v>
                </c:pt>
                <c:pt idx="6">
                  <c:v>varietylack * emissions</c:v>
                </c:pt>
                <c:pt idx="7">
                  <c:v>varietylack + emissions + cost + calories</c:v>
                </c:pt>
                <c:pt idx="8">
                  <c:v>varietylack * 1000000 + emissions + cost + calories * 100</c:v>
                </c:pt>
              </c:strCache>
            </c:strRef>
          </c:cat>
          <c:val>
            <c:numRef>
              <c:f>Sheet1!$B$43:$J$43</c:f>
              <c:numCache>
                <c:formatCode>General</c:formatCode>
                <c:ptCount val="9"/>
                <c:pt idx="0">
                  <c:v>12668638</c:v>
                </c:pt>
                <c:pt idx="1">
                  <c:v>13184610</c:v>
                </c:pt>
                <c:pt idx="2">
                  <c:v>12651894</c:v>
                </c:pt>
                <c:pt idx="3">
                  <c:v>12456526</c:v>
                </c:pt>
                <c:pt idx="4">
                  <c:v>12512566</c:v>
                </c:pt>
                <c:pt idx="5">
                  <c:v>12456526</c:v>
                </c:pt>
                <c:pt idx="6">
                  <c:v>12456526</c:v>
                </c:pt>
                <c:pt idx="7">
                  <c:v>12565198</c:v>
                </c:pt>
                <c:pt idx="8">
                  <c:v>12636718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7-4321-9705-CD083E75F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089535"/>
        <c:axId val="666084959"/>
      </c:barChart>
      <c:catAx>
        <c:axId val="66608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84959"/>
        <c:crosses val="autoZero"/>
        <c:auto val="1"/>
        <c:lblAlgn val="ctr"/>
        <c:lblOffset val="100"/>
        <c:noMultiLvlLbl val="0"/>
      </c:catAx>
      <c:valAx>
        <c:axId val="66608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8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Sheet1!$R$146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Sheet1!$Q$147:$Q$149</c:f>
              <c:strCache>
                <c:ptCount val="3"/>
                <c:pt idx="0">
                  <c:v>cost £</c:v>
                </c:pt>
                <c:pt idx="1">
                  <c:v>emissions kg</c:v>
                </c:pt>
                <c:pt idx="2">
                  <c:v>food waste cals</c:v>
                </c:pt>
              </c:strCache>
            </c:strRef>
          </c:cat>
          <c:val>
            <c:numRef>
              <c:f>Sheet1!$R$147:$R$149</c:f>
              <c:numCache>
                <c:formatCode>General</c:formatCode>
                <c:ptCount val="3"/>
                <c:pt idx="0">
                  <c:v>1768</c:v>
                </c:pt>
                <c:pt idx="1">
                  <c:v>1837</c:v>
                </c:pt>
                <c:pt idx="2">
                  <c:v>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E-4503-8DD9-E070464E3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0253424"/>
        <c:axId val="940247184"/>
      </c:barChart>
      <c:catAx>
        <c:axId val="94025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47184"/>
        <c:crosses val="autoZero"/>
        <c:auto val="1"/>
        <c:lblAlgn val="ctr"/>
        <c:lblOffset val="100"/>
        <c:noMultiLvlLbl val="0"/>
      </c:catAx>
      <c:valAx>
        <c:axId val="94024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5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Sheet1!$T$146</c:f>
              <c:strCache>
                <c:ptCount val="1"/>
                <c:pt idx="0">
                  <c:v>cals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Sheet1!$S$147:$S$149</c:f>
              <c:strCache>
                <c:ptCount val="3"/>
                <c:pt idx="0">
                  <c:v>cost £</c:v>
                </c:pt>
                <c:pt idx="1">
                  <c:v>emissions kg</c:v>
                </c:pt>
                <c:pt idx="2">
                  <c:v>food waste cals</c:v>
                </c:pt>
              </c:strCache>
            </c:strRef>
          </c:cat>
          <c:val>
            <c:numRef>
              <c:f>Sheet1!$T$147:$T$149</c:f>
              <c:numCache>
                <c:formatCode>General</c:formatCode>
                <c:ptCount val="3"/>
                <c:pt idx="0">
                  <c:v>1790</c:v>
                </c:pt>
                <c:pt idx="1">
                  <c:v>1913</c:v>
                </c:pt>
                <c:pt idx="2">
                  <c:v>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B-4A7A-AD0F-8CF38EC18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5028960"/>
        <c:axId val="935029376"/>
      </c:barChart>
      <c:catAx>
        <c:axId val="93502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29376"/>
        <c:crosses val="autoZero"/>
        <c:auto val="1"/>
        <c:lblAlgn val="ctr"/>
        <c:lblOffset val="100"/>
        <c:noMultiLvlLbl val="0"/>
      </c:catAx>
      <c:valAx>
        <c:axId val="9350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2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Sheet1!$V$146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Sheet1!$U$147:$U$149</c:f>
              <c:strCache>
                <c:ptCount val="3"/>
                <c:pt idx="0">
                  <c:v>cost £</c:v>
                </c:pt>
                <c:pt idx="1">
                  <c:v>emissions kg</c:v>
                </c:pt>
                <c:pt idx="2">
                  <c:v>food waste cals</c:v>
                </c:pt>
              </c:strCache>
            </c:strRef>
          </c:cat>
          <c:val>
            <c:numRef>
              <c:f>Sheet1!$V$147:$V$149</c:f>
              <c:numCache>
                <c:formatCode>General</c:formatCode>
                <c:ptCount val="3"/>
                <c:pt idx="0">
                  <c:v>1766</c:v>
                </c:pt>
                <c:pt idx="1">
                  <c:v>1863</c:v>
                </c:pt>
                <c:pt idx="2">
                  <c:v>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4-420D-8D02-C5F56B845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7882848"/>
        <c:axId val="1067881184"/>
      </c:barChart>
      <c:catAx>
        <c:axId val="106788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881184"/>
        <c:crosses val="autoZero"/>
        <c:auto val="1"/>
        <c:lblAlgn val="ctr"/>
        <c:lblOffset val="100"/>
        <c:noMultiLvlLbl val="0"/>
      </c:catAx>
      <c:valAx>
        <c:axId val="10678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88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94129</xdr:colOff>
      <xdr:row>51</xdr:row>
      <xdr:rowOff>85165</xdr:rowOff>
    </xdr:from>
    <xdr:to>
      <xdr:col>25</xdr:col>
      <xdr:colOff>398929</xdr:colOff>
      <xdr:row>66</xdr:row>
      <xdr:rowOff>138953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F239E5-838C-524F-F43B-E6E50B9C3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345142</xdr:colOff>
      <xdr:row>51</xdr:row>
      <xdr:rowOff>94129</xdr:rowOff>
    </xdr:from>
    <xdr:to>
      <xdr:col>18</xdr:col>
      <xdr:colOff>40342</xdr:colOff>
      <xdr:row>66</xdr:row>
      <xdr:rowOff>147917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4566C2-61EA-E343-8A7E-75C318B16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452718</xdr:colOff>
      <xdr:row>36</xdr:row>
      <xdr:rowOff>58270</xdr:rowOff>
    </xdr:from>
    <xdr:to>
      <xdr:col>33</xdr:col>
      <xdr:colOff>147918</xdr:colOff>
      <xdr:row>51</xdr:row>
      <xdr:rowOff>112058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E129B2-D867-C1B5-F3EC-E0E75B775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443753</xdr:colOff>
      <xdr:row>51</xdr:row>
      <xdr:rowOff>129988</xdr:rowOff>
    </xdr:from>
    <xdr:to>
      <xdr:col>33</xdr:col>
      <xdr:colOff>138953</xdr:colOff>
      <xdr:row>67</xdr:row>
      <xdr:rowOff>4482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BD29BB-B439-7349-6A78-0CE6A7C88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79514</xdr:colOff>
      <xdr:row>36</xdr:row>
      <xdr:rowOff>72887</xdr:rowOff>
    </xdr:from>
    <xdr:to>
      <xdr:col>25</xdr:col>
      <xdr:colOff>384314</xdr:colOff>
      <xdr:row>51</xdr:row>
      <xdr:rowOff>33131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A02A31-65CF-FDF8-CED1-AE1000383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46383</xdr:colOff>
      <xdr:row>132</xdr:row>
      <xdr:rowOff>152401</xdr:rowOff>
    </xdr:from>
    <xdr:to>
      <xdr:col>24</xdr:col>
      <xdr:colOff>351183</xdr:colOff>
      <xdr:row>147</xdr:row>
      <xdr:rowOff>112644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FF912F-C1E0-BE13-1EAE-4F8676246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364436</xdr:colOff>
      <xdr:row>132</xdr:row>
      <xdr:rowOff>159026</xdr:rowOff>
    </xdr:from>
    <xdr:to>
      <xdr:col>32</xdr:col>
      <xdr:colOff>59636</xdr:colOff>
      <xdr:row>147</xdr:row>
      <xdr:rowOff>119269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180E6F-799C-3DC8-8DDC-756416D1B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19880</xdr:colOff>
      <xdr:row>147</xdr:row>
      <xdr:rowOff>172278</xdr:rowOff>
    </xdr:from>
    <xdr:to>
      <xdr:col>24</xdr:col>
      <xdr:colOff>324680</xdr:colOff>
      <xdr:row>162</xdr:row>
      <xdr:rowOff>132522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9B4FAB2-A087-359F-81AF-8A7EB92D5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751DF-F8E9-40E7-8456-464868000FDC}">
  <dimension ref="A1:V180"/>
  <sheetViews>
    <sheetView tabSelected="1" topLeftCell="A162" zoomScale="115" zoomScaleNormal="115" workbookViewId="0">
      <selection activeCell="I178" sqref="I178"/>
    </sheetView>
  </sheetViews>
  <sheetFormatPr defaultRowHeight="14.4" x14ac:dyDescent="0.3"/>
  <cols>
    <col min="1" max="1" width="23.33203125" customWidth="1"/>
    <col min="3" max="9" width="10.44140625" bestFit="1" customWidth="1"/>
  </cols>
  <sheetData>
    <row r="1" spans="1:19" x14ac:dyDescent="0.3">
      <c r="A1" s="1">
        <v>44704</v>
      </c>
      <c r="B1" t="s">
        <v>1</v>
      </c>
    </row>
    <row r="2" spans="1:19" x14ac:dyDescent="0.3">
      <c r="A2" t="s">
        <v>25</v>
      </c>
      <c r="B2" t="s">
        <v>2</v>
      </c>
    </row>
    <row r="3" spans="1:19" x14ac:dyDescent="0.3">
      <c r="B3" t="s">
        <v>3</v>
      </c>
    </row>
    <row r="5" spans="1:19" x14ac:dyDescent="0.3">
      <c r="A5" t="s">
        <v>18</v>
      </c>
      <c r="B5" t="s">
        <v>16</v>
      </c>
      <c r="C5" s="2" t="s">
        <v>19</v>
      </c>
      <c r="D5" s="2"/>
      <c r="E5" s="2"/>
      <c r="F5" s="2"/>
      <c r="G5" s="3" t="s">
        <v>20</v>
      </c>
      <c r="H5" s="3"/>
      <c r="I5" s="3"/>
      <c r="J5" s="3"/>
      <c r="K5" s="2" t="s">
        <v>21</v>
      </c>
      <c r="L5" s="2"/>
      <c r="M5" s="2"/>
      <c r="N5" s="2"/>
      <c r="O5" s="3" t="s">
        <v>22</v>
      </c>
      <c r="P5" s="3"/>
      <c r="Q5" s="3"/>
      <c r="R5" s="3"/>
    </row>
    <row r="6" spans="1:19" x14ac:dyDescent="0.3">
      <c r="A6" t="s">
        <v>17</v>
      </c>
      <c r="B6">
        <v>0</v>
      </c>
      <c r="C6" s="2">
        <v>1</v>
      </c>
      <c r="D6" s="2">
        <v>2</v>
      </c>
      <c r="E6" s="2">
        <v>5</v>
      </c>
      <c r="F6" s="2">
        <v>10</v>
      </c>
      <c r="G6" s="3">
        <v>1</v>
      </c>
      <c r="H6" s="3">
        <v>2</v>
      </c>
      <c r="I6" s="3">
        <v>5</v>
      </c>
      <c r="J6" s="3">
        <v>10</v>
      </c>
      <c r="K6" s="2">
        <v>1</v>
      </c>
      <c r="L6" s="2">
        <v>2</v>
      </c>
      <c r="M6" s="2">
        <v>5</v>
      </c>
      <c r="N6" s="2">
        <v>10</v>
      </c>
      <c r="O6" s="3">
        <v>1</v>
      </c>
      <c r="P6" s="3">
        <v>2</v>
      </c>
      <c r="Q6" s="3">
        <v>5</v>
      </c>
      <c r="R6" s="3">
        <v>10</v>
      </c>
    </row>
    <row r="7" spans="1:19" x14ac:dyDescent="0.3">
      <c r="A7" t="s">
        <v>4</v>
      </c>
      <c r="B7">
        <v>249220</v>
      </c>
      <c r="C7">
        <v>225440</v>
      </c>
      <c r="D7">
        <v>225110</v>
      </c>
      <c r="E7">
        <v>225110</v>
      </c>
      <c r="F7">
        <v>221120</v>
      </c>
      <c r="G7">
        <v>223300</v>
      </c>
      <c r="H7">
        <v>223300</v>
      </c>
      <c r="I7">
        <v>223300</v>
      </c>
      <c r="J7">
        <v>223300</v>
      </c>
      <c r="K7">
        <v>229480</v>
      </c>
      <c r="L7">
        <v>229480</v>
      </c>
      <c r="M7">
        <v>229680</v>
      </c>
      <c r="N7">
        <v>226760</v>
      </c>
      <c r="O7">
        <v>232530</v>
      </c>
      <c r="P7">
        <v>232530</v>
      </c>
      <c r="Q7">
        <v>235470</v>
      </c>
      <c r="R7">
        <v>235470</v>
      </c>
      <c r="S7" t="s">
        <v>4</v>
      </c>
    </row>
    <row r="8" spans="1:19" x14ac:dyDescent="0.3">
      <c r="A8" t="s">
        <v>5</v>
      </c>
      <c r="B8">
        <v>1870</v>
      </c>
      <c r="C8">
        <v>1742</v>
      </c>
      <c r="D8">
        <v>1740</v>
      </c>
      <c r="E8">
        <v>1740</v>
      </c>
      <c r="F8">
        <v>1735</v>
      </c>
      <c r="G8">
        <v>1787</v>
      </c>
      <c r="H8">
        <v>1787</v>
      </c>
      <c r="I8">
        <v>1787</v>
      </c>
      <c r="J8">
        <v>1787</v>
      </c>
      <c r="K8">
        <v>1803</v>
      </c>
      <c r="L8">
        <v>1803</v>
      </c>
      <c r="M8">
        <v>1786</v>
      </c>
      <c r="N8">
        <v>1794</v>
      </c>
      <c r="O8">
        <v>1765</v>
      </c>
      <c r="P8">
        <v>1765</v>
      </c>
      <c r="Q8">
        <v>1761</v>
      </c>
      <c r="R8">
        <v>1761</v>
      </c>
      <c r="S8" t="s">
        <v>5</v>
      </c>
    </row>
    <row r="9" spans="1:19" x14ac:dyDescent="0.3">
      <c r="A9" t="s">
        <v>14</v>
      </c>
      <c r="B9">
        <f xml:space="preserve"> 816864 - B17</f>
        <v>347864</v>
      </c>
      <c r="C9">
        <f>792144-B17</f>
        <v>323144</v>
      </c>
      <c r="D9">
        <f>785594-B17</f>
        <v>316594</v>
      </c>
      <c r="E9">
        <f>785594-B17</f>
        <v>316594</v>
      </c>
      <c r="F9">
        <f>792614-B17</f>
        <v>323614</v>
      </c>
      <c r="G9">
        <f>791414-B17</f>
        <v>322414</v>
      </c>
      <c r="H9">
        <f>791414-B17</f>
        <v>322414</v>
      </c>
      <c r="I9">
        <f>791414-B17</f>
        <v>322414</v>
      </c>
      <c r="J9">
        <f>791414-B17</f>
        <v>322414</v>
      </c>
      <c r="K9">
        <f xml:space="preserve"> 785784 - B17</f>
        <v>316784</v>
      </c>
      <c r="L9">
        <f xml:space="preserve"> 785784 - B17</f>
        <v>316784</v>
      </c>
      <c r="M9">
        <f>784494-B17</f>
        <v>315494</v>
      </c>
      <c r="N9">
        <f>779814-B17</f>
        <v>310814</v>
      </c>
      <c r="O9">
        <f>794264-B17</f>
        <v>325264</v>
      </c>
      <c r="P9">
        <f>794264-B17</f>
        <v>325264</v>
      </c>
      <c r="Q9">
        <f>791434-B17</f>
        <v>322434</v>
      </c>
      <c r="R9">
        <f>791434-B17</f>
        <v>322434</v>
      </c>
      <c r="S9" t="s">
        <v>14</v>
      </c>
    </row>
    <row r="10" spans="1:19" x14ac:dyDescent="0.3">
      <c r="A10" t="s">
        <v>13</v>
      </c>
      <c r="B10">
        <f xml:space="preserve"> 75375 - B18</f>
        <v>10887.5</v>
      </c>
      <c r="C10">
        <f>76555-B18</f>
        <v>12067.5</v>
      </c>
      <c r="D10">
        <f>74765-B18</f>
        <v>10277.5</v>
      </c>
      <c r="E10">
        <f>74765-B18</f>
        <v>10277.5</v>
      </c>
      <c r="F10">
        <f>76715-B18</f>
        <v>12227.5</v>
      </c>
      <c r="G10">
        <f>74415-B18</f>
        <v>9927.5</v>
      </c>
      <c r="H10">
        <f>74415-B18</f>
        <v>9927.5</v>
      </c>
      <c r="I10">
        <f>74415-B18</f>
        <v>9927.5</v>
      </c>
      <c r="J10">
        <f>74415-B18</f>
        <v>9927.5</v>
      </c>
      <c r="K10">
        <f xml:space="preserve"> 74145 - B18</f>
        <v>9657.5</v>
      </c>
      <c r="L10">
        <f xml:space="preserve"> 74145 - B18</f>
        <v>9657.5</v>
      </c>
      <c r="M10">
        <f>74405-B18</f>
        <v>9917.5</v>
      </c>
      <c r="N10">
        <f>72885-B18</f>
        <v>8397.5</v>
      </c>
      <c r="O10">
        <f>76595-B18</f>
        <v>12107.5</v>
      </c>
      <c r="P10">
        <f>76595-B18</f>
        <v>12107.5</v>
      </c>
      <c r="Q10">
        <f>76305-B18</f>
        <v>11817.5</v>
      </c>
      <c r="R10">
        <f>76305-B18</f>
        <v>11817.5</v>
      </c>
      <c r="S10" t="s">
        <v>13</v>
      </c>
    </row>
    <row r="11" spans="1:19" x14ac:dyDescent="0.3">
      <c r="A11" t="s">
        <v>12</v>
      </c>
      <c r="B11">
        <f xml:space="preserve"> 41051 - B19</f>
        <v>26981</v>
      </c>
      <c r="C11">
        <f>39401-B19</f>
        <v>25331</v>
      </c>
      <c r="D11">
        <f>39701-B19</f>
        <v>25631</v>
      </c>
      <c r="E11">
        <f>39701-B19</f>
        <v>25631</v>
      </c>
      <c r="F11">
        <f>39481-B19</f>
        <v>25411</v>
      </c>
      <c r="G11">
        <f>39751-B19</f>
        <v>25681</v>
      </c>
      <c r="H11">
        <f>39751-B19</f>
        <v>25681</v>
      </c>
      <c r="I11">
        <f>39751-B19</f>
        <v>25681</v>
      </c>
      <c r="J11">
        <f>39751-B19</f>
        <v>25681</v>
      </c>
      <c r="K11">
        <f xml:space="preserve"> 39261 - B19</f>
        <v>25191</v>
      </c>
      <c r="L11">
        <f xml:space="preserve"> 39261 - B19</f>
        <v>25191</v>
      </c>
      <c r="M11">
        <f>39241-B19</f>
        <v>25171</v>
      </c>
      <c r="N11">
        <f>39451-B19</f>
        <v>25381</v>
      </c>
      <c r="O11">
        <f>39391-B19</f>
        <v>25321</v>
      </c>
      <c r="P11">
        <f>39391-B19</f>
        <v>25321</v>
      </c>
      <c r="Q11">
        <f>39451-B19</f>
        <v>25381</v>
      </c>
      <c r="R11">
        <f>39451-B19</f>
        <v>25381</v>
      </c>
      <c r="S11" t="s">
        <v>12</v>
      </c>
    </row>
    <row r="12" spans="1:19" x14ac:dyDescent="0.3">
      <c r="A12" t="s">
        <v>11</v>
      </c>
      <c r="B12">
        <f xml:space="preserve"> 8936 - B20</f>
        <v>3542.5</v>
      </c>
      <c r="C12">
        <f>9076-B20</f>
        <v>3682.5</v>
      </c>
      <c r="D12">
        <f>8596-B20</f>
        <v>3202.5</v>
      </c>
      <c r="E12">
        <f>8596-B20</f>
        <v>3202.5</v>
      </c>
      <c r="F12">
        <f>9086-B20</f>
        <v>3692.5</v>
      </c>
      <c r="G12">
        <f>8306-B20</f>
        <v>2912.5</v>
      </c>
      <c r="H12">
        <f>8306-B20</f>
        <v>2912.5</v>
      </c>
      <c r="I12">
        <f>8306-B20</f>
        <v>2912.5</v>
      </c>
      <c r="J12">
        <f>8306-B20</f>
        <v>2912.5</v>
      </c>
      <c r="K12">
        <f xml:space="preserve"> 8676 - B20</f>
        <v>3282.5</v>
      </c>
      <c r="L12">
        <f xml:space="preserve"> 8676 - B20</f>
        <v>3282.5</v>
      </c>
      <c r="M12">
        <f>8876-B20</f>
        <v>3482.5</v>
      </c>
      <c r="N12">
        <f>8416-B20</f>
        <v>3022.5</v>
      </c>
      <c r="O12">
        <f>8816-B20</f>
        <v>3422.5</v>
      </c>
      <c r="P12">
        <f>8816-B20</f>
        <v>3422.5</v>
      </c>
      <c r="Q12">
        <f>8976-B20</f>
        <v>3582.5</v>
      </c>
      <c r="R12">
        <f>8976-B20</f>
        <v>3582.5</v>
      </c>
      <c r="S12" t="s">
        <v>11</v>
      </c>
    </row>
    <row r="13" spans="1:19" x14ac:dyDescent="0.3">
      <c r="A13" t="s">
        <v>10</v>
      </c>
      <c r="B13">
        <f xml:space="preserve"> 25117 - B21</f>
        <v>14564.5</v>
      </c>
      <c r="C13">
        <f>23167-B21</f>
        <v>12614.5</v>
      </c>
      <c r="D13">
        <f>22837-B21</f>
        <v>12284.5</v>
      </c>
      <c r="E13">
        <f>22837-B21</f>
        <v>12284.5</v>
      </c>
      <c r="F13">
        <f>22967-B21</f>
        <v>12414.5</v>
      </c>
      <c r="G13">
        <f>23627-B21</f>
        <v>13074.5</v>
      </c>
      <c r="H13">
        <f>23627-B21</f>
        <v>13074.5</v>
      </c>
      <c r="I13">
        <f>23627-B21</f>
        <v>13074.5</v>
      </c>
      <c r="J13">
        <f>23627-B21</f>
        <v>13074.5</v>
      </c>
      <c r="K13">
        <f xml:space="preserve"> 23807 - B21</f>
        <v>13254.5</v>
      </c>
      <c r="L13">
        <f xml:space="preserve"> 23807 - B21</f>
        <v>13254.5</v>
      </c>
      <c r="M13">
        <f>23527-B21</f>
        <v>12974.5</v>
      </c>
      <c r="N13">
        <f>23377-B21</f>
        <v>12824.5</v>
      </c>
      <c r="O13">
        <f>23417-B21</f>
        <v>12864.5</v>
      </c>
      <c r="P13">
        <f>23417-B21</f>
        <v>12864.5</v>
      </c>
      <c r="Q13">
        <f>23147-B21</f>
        <v>12594.5</v>
      </c>
      <c r="R13">
        <f>23147-B21</f>
        <v>12594.5</v>
      </c>
      <c r="S13" t="s">
        <v>10</v>
      </c>
    </row>
    <row r="16" spans="1:19" x14ac:dyDescent="0.3">
      <c r="B16" t="s">
        <v>15</v>
      </c>
    </row>
    <row r="17" spans="1:10" x14ac:dyDescent="0.3">
      <c r="A17" t="s">
        <v>0</v>
      </c>
      <c r="B17">
        <v>469000</v>
      </c>
    </row>
    <row r="18" spans="1:10" x14ac:dyDescent="0.3">
      <c r="A18" t="s">
        <v>6</v>
      </c>
      <c r="B18">
        <v>64487.5</v>
      </c>
    </row>
    <row r="19" spans="1:10" x14ac:dyDescent="0.3">
      <c r="A19" t="s">
        <v>7</v>
      </c>
      <c r="B19">
        <v>14070</v>
      </c>
    </row>
    <row r="20" spans="1:10" x14ac:dyDescent="0.3">
      <c r="A20" t="s">
        <v>8</v>
      </c>
      <c r="B20">
        <v>5393.5</v>
      </c>
    </row>
    <row r="21" spans="1:10" x14ac:dyDescent="0.3">
      <c r="A21" t="s">
        <v>9</v>
      </c>
      <c r="B21">
        <v>10552.5</v>
      </c>
    </row>
    <row r="24" spans="1:10" x14ac:dyDescent="0.3">
      <c r="A24" s="1">
        <v>44707</v>
      </c>
    </row>
    <row r="25" spans="1:10" x14ac:dyDescent="0.3">
      <c r="A25" t="s">
        <v>25</v>
      </c>
    </row>
    <row r="26" spans="1:10" x14ac:dyDescent="0.3">
      <c r="A26" t="s">
        <v>18</v>
      </c>
      <c r="B26" t="s">
        <v>16</v>
      </c>
      <c r="C26" t="s">
        <v>19</v>
      </c>
      <c r="G26" s="2" t="s">
        <v>23</v>
      </c>
      <c r="H26" s="2"/>
      <c r="I26" s="2"/>
      <c r="J26" s="2"/>
    </row>
    <row r="27" spans="1:10" x14ac:dyDescent="0.3">
      <c r="A27" t="s">
        <v>17</v>
      </c>
      <c r="B27">
        <v>0</v>
      </c>
      <c r="C27">
        <v>1</v>
      </c>
      <c r="D27">
        <v>2</v>
      </c>
      <c r="E27">
        <v>5</v>
      </c>
      <c r="F27">
        <v>10</v>
      </c>
      <c r="G27" s="2">
        <v>1</v>
      </c>
      <c r="H27" s="2">
        <v>2</v>
      </c>
      <c r="I27" s="2">
        <v>5</v>
      </c>
      <c r="J27" s="2">
        <v>10</v>
      </c>
    </row>
    <row r="28" spans="1:10" x14ac:dyDescent="0.3">
      <c r="A28" t="s">
        <v>24</v>
      </c>
      <c r="B28">
        <v>1279</v>
      </c>
      <c r="C28">
        <v>1250</v>
      </c>
      <c r="D28">
        <v>1250</v>
      </c>
      <c r="E28">
        <v>1250</v>
      </c>
      <c r="F28">
        <v>1250</v>
      </c>
      <c r="G28">
        <v>1279</v>
      </c>
      <c r="H28">
        <v>1279</v>
      </c>
      <c r="I28">
        <v>1279</v>
      </c>
      <c r="J28">
        <v>1279</v>
      </c>
    </row>
    <row r="29" spans="1:10" x14ac:dyDescent="0.3">
      <c r="A29" t="s">
        <v>5</v>
      </c>
      <c r="B29">
        <v>1129</v>
      </c>
      <c r="C29">
        <v>1082</v>
      </c>
      <c r="D29">
        <v>1082</v>
      </c>
      <c r="E29">
        <v>1082</v>
      </c>
      <c r="F29">
        <v>1082</v>
      </c>
      <c r="G29">
        <v>1129</v>
      </c>
      <c r="H29">
        <v>1129</v>
      </c>
      <c r="I29">
        <v>1129</v>
      </c>
      <c r="J29">
        <v>1129</v>
      </c>
    </row>
    <row r="30" spans="1:10" x14ac:dyDescent="0.3">
      <c r="A30" t="s">
        <v>14</v>
      </c>
      <c r="B30">
        <v>16347</v>
      </c>
      <c r="C30">
        <v>14197</v>
      </c>
      <c r="D30">
        <v>14197</v>
      </c>
      <c r="E30">
        <v>14197</v>
      </c>
      <c r="F30">
        <v>14197</v>
      </c>
      <c r="G30">
        <v>16347</v>
      </c>
      <c r="H30">
        <v>16347</v>
      </c>
      <c r="I30">
        <v>16347</v>
      </c>
      <c r="J30">
        <v>16347</v>
      </c>
    </row>
    <row r="31" spans="1:10" x14ac:dyDescent="0.3">
      <c r="A31" t="s">
        <v>13</v>
      </c>
      <c r="B31">
        <v>1096.5</v>
      </c>
      <c r="C31">
        <v>1830.5</v>
      </c>
      <c r="D31">
        <v>1830.5</v>
      </c>
      <c r="E31">
        <v>1830.5</v>
      </c>
      <c r="F31">
        <v>1830.5</v>
      </c>
      <c r="G31">
        <v>1096.5</v>
      </c>
      <c r="H31">
        <v>1096.5</v>
      </c>
      <c r="I31">
        <v>1096.5</v>
      </c>
      <c r="J31">
        <v>1096.5</v>
      </c>
    </row>
    <row r="32" spans="1:10" x14ac:dyDescent="0.3">
      <c r="A32" t="s">
        <v>12</v>
      </c>
      <c r="B32">
        <v>6952</v>
      </c>
      <c r="C32">
        <v>6298</v>
      </c>
      <c r="D32">
        <v>6298</v>
      </c>
      <c r="E32">
        <v>6298</v>
      </c>
      <c r="F32">
        <v>6298</v>
      </c>
      <c r="G32">
        <v>6952</v>
      </c>
      <c r="H32">
        <v>6952</v>
      </c>
      <c r="I32">
        <v>6952</v>
      </c>
      <c r="J32">
        <v>6952</v>
      </c>
    </row>
    <row r="33" spans="1:12" x14ac:dyDescent="0.3">
      <c r="A33" t="s">
        <v>11</v>
      </c>
      <c r="B33">
        <v>2634.5</v>
      </c>
      <c r="C33">
        <v>3197.5</v>
      </c>
      <c r="D33">
        <v>3197.5</v>
      </c>
      <c r="E33">
        <v>3197.5</v>
      </c>
      <c r="F33">
        <v>3197.5</v>
      </c>
      <c r="G33">
        <v>2634.5</v>
      </c>
      <c r="H33">
        <v>2634.5</v>
      </c>
      <c r="I33">
        <v>2634.5</v>
      </c>
      <c r="J33">
        <v>2634.5</v>
      </c>
    </row>
    <row r="34" spans="1:12" x14ac:dyDescent="0.3">
      <c r="A34" t="s">
        <v>10</v>
      </c>
      <c r="B34">
        <v>5482.5</v>
      </c>
      <c r="C34">
        <v>5638.5</v>
      </c>
      <c r="D34">
        <v>5638.5</v>
      </c>
      <c r="E34">
        <v>5638.5</v>
      </c>
      <c r="F34">
        <v>5638.5</v>
      </c>
      <c r="G34">
        <v>5482.5</v>
      </c>
      <c r="H34">
        <v>5482.5</v>
      </c>
      <c r="I34">
        <v>5482.5</v>
      </c>
      <c r="J34">
        <v>5482.5</v>
      </c>
    </row>
    <row r="38" spans="1:12" x14ac:dyDescent="0.3">
      <c r="A38" s="5" t="s">
        <v>46</v>
      </c>
    </row>
    <row r="39" spans="1:12" x14ac:dyDescent="0.3">
      <c r="A39" t="s">
        <v>25</v>
      </c>
      <c r="B39" t="s">
        <v>33</v>
      </c>
      <c r="C39" t="s">
        <v>35</v>
      </c>
    </row>
    <row r="40" spans="1:12" x14ac:dyDescent="0.3">
      <c r="A40" t="s">
        <v>31</v>
      </c>
      <c r="B40" t="s">
        <v>32</v>
      </c>
      <c r="C40" t="s">
        <v>34</v>
      </c>
      <c r="D40" t="s">
        <v>26</v>
      </c>
      <c r="E40" t="s">
        <v>27</v>
      </c>
      <c r="F40" t="s">
        <v>36</v>
      </c>
      <c r="G40" t="s">
        <v>37</v>
      </c>
      <c r="H40" t="s">
        <v>38</v>
      </c>
      <c r="I40" t="s">
        <v>41</v>
      </c>
      <c r="J40" t="s">
        <v>42</v>
      </c>
      <c r="K40" t="s">
        <v>39</v>
      </c>
      <c r="L40" t="s">
        <v>40</v>
      </c>
    </row>
    <row r="41" spans="1:12" x14ac:dyDescent="0.3">
      <c r="A41" t="s">
        <v>43</v>
      </c>
      <c r="B41">
        <v>551676</v>
      </c>
      <c r="C41" s="4">
        <v>563155</v>
      </c>
      <c r="D41">
        <v>548191</v>
      </c>
      <c r="E41">
        <v>546214</v>
      </c>
      <c r="F41" s="2">
        <v>546005</v>
      </c>
      <c r="G41">
        <v>546214</v>
      </c>
      <c r="H41">
        <v>546214</v>
      </c>
      <c r="I41">
        <v>548353</v>
      </c>
      <c r="J41" s="6">
        <v>546101</v>
      </c>
      <c r="K41" t="s">
        <v>45</v>
      </c>
      <c r="L41" t="s">
        <v>45</v>
      </c>
    </row>
    <row r="42" spans="1:12" x14ac:dyDescent="0.3">
      <c r="A42" t="s">
        <v>26</v>
      </c>
      <c r="B42">
        <v>14346668</v>
      </c>
      <c r="C42" s="4">
        <v>14700720</v>
      </c>
      <c r="D42" s="2">
        <v>13665322</v>
      </c>
      <c r="E42">
        <v>14234100</v>
      </c>
      <c r="F42">
        <v>14222322</v>
      </c>
      <c r="G42">
        <v>14234100</v>
      </c>
      <c r="H42">
        <v>14234100</v>
      </c>
      <c r="I42">
        <v>13967284</v>
      </c>
      <c r="J42">
        <v>13986434</v>
      </c>
      <c r="K42" t="s">
        <v>45</v>
      </c>
      <c r="L42" t="s">
        <v>45</v>
      </c>
    </row>
    <row r="43" spans="1:12" x14ac:dyDescent="0.3">
      <c r="A43" t="s">
        <v>27</v>
      </c>
      <c r="B43">
        <v>12668638</v>
      </c>
      <c r="C43" s="4">
        <v>13184610</v>
      </c>
      <c r="D43">
        <v>12651894</v>
      </c>
      <c r="E43" s="2">
        <v>12456526</v>
      </c>
      <c r="F43">
        <v>12512566</v>
      </c>
      <c r="G43" s="2">
        <v>12456526</v>
      </c>
      <c r="H43" s="2">
        <v>12456526</v>
      </c>
      <c r="I43">
        <v>12565198</v>
      </c>
      <c r="J43">
        <v>12636718</v>
      </c>
      <c r="K43" t="s">
        <v>45</v>
      </c>
      <c r="L43" t="s">
        <v>45</v>
      </c>
    </row>
    <row r="44" spans="1:12" x14ac:dyDescent="0.3">
      <c r="A44" t="s">
        <v>28</v>
      </c>
      <c r="B44">
        <v>98</v>
      </c>
      <c r="C44" s="2">
        <v>44</v>
      </c>
      <c r="D44">
        <v>98</v>
      </c>
      <c r="E44">
        <v>98</v>
      </c>
      <c r="F44">
        <v>98</v>
      </c>
      <c r="G44">
        <v>98</v>
      </c>
      <c r="H44">
        <v>98</v>
      </c>
      <c r="I44">
        <v>98</v>
      </c>
      <c r="J44">
        <v>98</v>
      </c>
      <c r="K44" t="s">
        <v>45</v>
      </c>
      <c r="L44" t="s">
        <v>45</v>
      </c>
    </row>
    <row r="45" spans="1:12" x14ac:dyDescent="0.3">
      <c r="A45" t="s">
        <v>30</v>
      </c>
      <c r="B45" t="s">
        <v>45</v>
      </c>
      <c r="C45" t="s">
        <v>45</v>
      </c>
      <c r="D45" t="s">
        <v>45</v>
      </c>
      <c r="E45" t="s">
        <v>45</v>
      </c>
      <c r="F45" t="s">
        <v>45</v>
      </c>
      <c r="G45" t="s">
        <v>45</v>
      </c>
      <c r="H45" t="s">
        <v>45</v>
      </c>
      <c r="I45" t="s">
        <v>45</v>
      </c>
      <c r="J45" t="s">
        <v>45</v>
      </c>
      <c r="K45" t="s">
        <v>45</v>
      </c>
      <c r="L45" t="s">
        <v>45</v>
      </c>
    </row>
    <row r="46" spans="1:12" x14ac:dyDescent="0.3">
      <c r="A46" t="s">
        <v>29</v>
      </c>
      <c r="B46">
        <v>27567080</v>
      </c>
      <c r="C46" s="4">
        <v>28448529</v>
      </c>
      <c r="D46" s="2">
        <v>26865505</v>
      </c>
      <c r="E46">
        <v>27236938</v>
      </c>
      <c r="F46">
        <v>27280991</v>
      </c>
      <c r="G46">
        <v>27236938</v>
      </c>
      <c r="H46">
        <v>27236938</v>
      </c>
      <c r="I46">
        <v>27080933</v>
      </c>
      <c r="J46">
        <v>27169351</v>
      </c>
      <c r="K46" t="s">
        <v>45</v>
      </c>
      <c r="L46" t="s">
        <v>45</v>
      </c>
    </row>
    <row r="47" spans="1:12" x14ac:dyDescent="0.3">
      <c r="B47" t="s">
        <v>44</v>
      </c>
    </row>
    <row r="48" spans="1:12" x14ac:dyDescent="0.3">
      <c r="A48" t="s">
        <v>31</v>
      </c>
      <c r="B48" t="s">
        <v>32</v>
      </c>
      <c r="C48" t="s">
        <v>34</v>
      </c>
      <c r="D48" t="s">
        <v>26</v>
      </c>
      <c r="E48" t="s">
        <v>27</v>
      </c>
      <c r="F48" t="s">
        <v>36</v>
      </c>
      <c r="G48" t="s">
        <v>37</v>
      </c>
      <c r="H48" t="s">
        <v>38</v>
      </c>
      <c r="I48" t="s">
        <v>41</v>
      </c>
      <c r="J48" t="s">
        <v>42</v>
      </c>
    </row>
    <row r="49" spans="1:10" x14ac:dyDescent="0.3">
      <c r="A49" t="s">
        <v>43</v>
      </c>
      <c r="B49">
        <v>6</v>
      </c>
      <c r="C49">
        <v>7</v>
      </c>
      <c r="D49">
        <v>4</v>
      </c>
      <c r="E49">
        <v>3</v>
      </c>
      <c r="F49">
        <v>1</v>
      </c>
      <c r="G49">
        <v>3</v>
      </c>
      <c r="H49">
        <v>3</v>
      </c>
      <c r="I49">
        <v>5</v>
      </c>
      <c r="J49">
        <v>2</v>
      </c>
    </row>
    <row r="50" spans="1:10" x14ac:dyDescent="0.3">
      <c r="A50" t="s">
        <v>26</v>
      </c>
      <c r="B50">
        <v>6</v>
      </c>
      <c r="C50">
        <v>7</v>
      </c>
      <c r="D50">
        <v>1</v>
      </c>
      <c r="E50">
        <v>5</v>
      </c>
      <c r="F50">
        <v>4</v>
      </c>
      <c r="G50">
        <v>5</v>
      </c>
      <c r="H50">
        <v>5</v>
      </c>
      <c r="I50">
        <v>2</v>
      </c>
      <c r="J50">
        <v>3</v>
      </c>
    </row>
    <row r="51" spans="1:10" x14ac:dyDescent="0.3">
      <c r="A51" t="s">
        <v>27</v>
      </c>
      <c r="B51">
        <v>6</v>
      </c>
      <c r="C51">
        <v>7</v>
      </c>
      <c r="D51">
        <v>5</v>
      </c>
      <c r="E51">
        <v>1</v>
      </c>
      <c r="F51">
        <v>2</v>
      </c>
      <c r="G51">
        <v>1</v>
      </c>
      <c r="H51">
        <v>1</v>
      </c>
      <c r="I51">
        <v>3</v>
      </c>
      <c r="J51">
        <v>4</v>
      </c>
    </row>
    <row r="52" spans="1:10" x14ac:dyDescent="0.3">
      <c r="A52" t="s">
        <v>28</v>
      </c>
      <c r="B52">
        <v>2</v>
      </c>
      <c r="C52">
        <v>1</v>
      </c>
      <c r="D52">
        <v>2</v>
      </c>
      <c r="E52">
        <v>2</v>
      </c>
      <c r="F52">
        <v>2</v>
      </c>
      <c r="G52">
        <v>2</v>
      </c>
      <c r="H52">
        <v>2</v>
      </c>
      <c r="I52">
        <v>2</v>
      </c>
      <c r="J52">
        <v>2</v>
      </c>
    </row>
    <row r="53" spans="1:10" x14ac:dyDescent="0.3">
      <c r="A53" t="s">
        <v>29</v>
      </c>
      <c r="B53">
        <v>6</v>
      </c>
      <c r="C53">
        <v>7</v>
      </c>
      <c r="D53">
        <v>1</v>
      </c>
      <c r="E53">
        <v>4</v>
      </c>
      <c r="F53">
        <v>5</v>
      </c>
      <c r="G53">
        <v>4</v>
      </c>
      <c r="H53">
        <v>4</v>
      </c>
      <c r="I53">
        <v>2</v>
      </c>
      <c r="J53">
        <v>3</v>
      </c>
    </row>
    <row r="54" spans="1:10" x14ac:dyDescent="0.3">
      <c r="A54" t="s">
        <v>48</v>
      </c>
      <c r="B54">
        <f>SUM(B49:B53)</f>
        <v>26</v>
      </c>
      <c r="C54">
        <f t="shared" ref="C54:J54" si="0">SUM(C49:C53)</f>
        <v>29</v>
      </c>
      <c r="D54">
        <f t="shared" si="0"/>
        <v>13</v>
      </c>
      <c r="E54">
        <f t="shared" si="0"/>
        <v>15</v>
      </c>
      <c r="F54">
        <f t="shared" si="0"/>
        <v>14</v>
      </c>
      <c r="G54">
        <f t="shared" si="0"/>
        <v>15</v>
      </c>
      <c r="H54">
        <f t="shared" si="0"/>
        <v>15</v>
      </c>
      <c r="I54">
        <f t="shared" si="0"/>
        <v>14</v>
      </c>
      <c r="J54">
        <f t="shared" si="0"/>
        <v>14</v>
      </c>
    </row>
    <row r="55" spans="1:10" x14ac:dyDescent="0.3">
      <c r="A55" t="s">
        <v>47</v>
      </c>
      <c r="B55">
        <v>4</v>
      </c>
      <c r="C55">
        <v>5</v>
      </c>
      <c r="D55">
        <v>1</v>
      </c>
      <c r="E55">
        <v>3</v>
      </c>
      <c r="F55">
        <v>2</v>
      </c>
      <c r="G55">
        <v>3</v>
      </c>
      <c r="H55">
        <v>3</v>
      </c>
      <c r="I55">
        <v>2</v>
      </c>
      <c r="J55">
        <v>2</v>
      </c>
    </row>
    <row r="69" spans="1:15" x14ac:dyDescent="0.3">
      <c r="A69" s="1" t="s">
        <v>49</v>
      </c>
    </row>
    <row r="70" spans="1:15" x14ac:dyDescent="0.3">
      <c r="A70" t="s">
        <v>25</v>
      </c>
      <c r="B70" t="s">
        <v>53</v>
      </c>
      <c r="J70" t="s">
        <v>63</v>
      </c>
      <c r="K70" t="s">
        <v>60</v>
      </c>
    </row>
    <row r="71" spans="1:15" x14ac:dyDescent="0.3">
      <c r="A71" t="s">
        <v>17</v>
      </c>
      <c r="B71">
        <v>0</v>
      </c>
      <c r="C71">
        <v>1</v>
      </c>
      <c r="D71">
        <v>2</v>
      </c>
      <c r="E71">
        <v>5</v>
      </c>
      <c r="F71">
        <v>10</v>
      </c>
      <c r="G71">
        <v>20</v>
      </c>
      <c r="H71">
        <v>30</v>
      </c>
      <c r="I71">
        <v>60</v>
      </c>
      <c r="J71" t="s">
        <v>17</v>
      </c>
      <c r="K71">
        <v>0</v>
      </c>
      <c r="L71">
        <v>1</v>
      </c>
      <c r="M71">
        <v>2</v>
      </c>
      <c r="N71">
        <v>5</v>
      </c>
      <c r="O71">
        <v>10</v>
      </c>
    </row>
    <row r="72" spans="1:15" x14ac:dyDescent="0.3">
      <c r="A72" t="s">
        <v>50</v>
      </c>
      <c r="B72">
        <v>2456</v>
      </c>
      <c r="C72">
        <v>2456</v>
      </c>
      <c r="D72">
        <v>2458</v>
      </c>
      <c r="E72">
        <v>2458</v>
      </c>
      <c r="F72">
        <v>2431</v>
      </c>
      <c r="G72">
        <v>2426</v>
      </c>
      <c r="H72">
        <v>2426</v>
      </c>
      <c r="I72">
        <v>2407</v>
      </c>
      <c r="J72" t="s">
        <v>50</v>
      </c>
      <c r="K72">
        <f>12016/5</f>
        <v>2403.1999999999998</v>
      </c>
      <c r="L72">
        <f t="shared" ref="L72:O72" si="1">12016/5</f>
        <v>2403.1999999999998</v>
      </c>
      <c r="M72">
        <f t="shared" si="1"/>
        <v>2403.1999999999998</v>
      </c>
      <c r="N72">
        <f t="shared" si="1"/>
        <v>2403.1999999999998</v>
      </c>
      <c r="O72">
        <f t="shared" si="1"/>
        <v>2403.1999999999998</v>
      </c>
    </row>
    <row r="73" spans="1:15" x14ac:dyDescent="0.3">
      <c r="A73" t="s">
        <v>51</v>
      </c>
      <c r="B73">
        <v>2129</v>
      </c>
      <c r="C73">
        <v>2129</v>
      </c>
      <c r="D73">
        <v>2109</v>
      </c>
      <c r="E73">
        <v>2109</v>
      </c>
      <c r="F73">
        <v>2126</v>
      </c>
      <c r="G73">
        <v>2124</v>
      </c>
      <c r="H73">
        <v>2124</v>
      </c>
      <c r="I73">
        <v>2102</v>
      </c>
      <c r="J73" t="s">
        <v>51</v>
      </c>
      <c r="K73">
        <f>9312/5</f>
        <v>1862.4</v>
      </c>
      <c r="L73">
        <f t="shared" ref="L73:O73" si="2">9312/5</f>
        <v>1862.4</v>
      </c>
      <c r="M73">
        <f t="shared" si="2"/>
        <v>1862.4</v>
      </c>
      <c r="N73">
        <f t="shared" si="2"/>
        <v>1862.4</v>
      </c>
      <c r="O73">
        <f t="shared" si="2"/>
        <v>1862.4</v>
      </c>
    </row>
    <row r="74" spans="1:15" x14ac:dyDescent="0.3">
      <c r="A74" t="s">
        <v>52</v>
      </c>
      <c r="B74">
        <v>1531660</v>
      </c>
      <c r="C74">
        <v>1531660</v>
      </c>
      <c r="D74">
        <v>1460280</v>
      </c>
      <c r="E74">
        <v>1460280</v>
      </c>
      <c r="F74">
        <v>1486490</v>
      </c>
      <c r="G74">
        <v>1492530</v>
      </c>
      <c r="H74">
        <v>1492530</v>
      </c>
      <c r="I74">
        <v>1493500</v>
      </c>
    </row>
    <row r="75" spans="1:15" x14ac:dyDescent="0.3">
      <c r="A75" t="s">
        <v>28</v>
      </c>
      <c r="B75">
        <v>80</v>
      </c>
      <c r="C75">
        <v>80</v>
      </c>
      <c r="D75">
        <v>80</v>
      </c>
      <c r="E75">
        <v>80</v>
      </c>
      <c r="F75">
        <v>80</v>
      </c>
      <c r="G75">
        <v>80</v>
      </c>
      <c r="H75">
        <v>80</v>
      </c>
      <c r="I75">
        <v>80</v>
      </c>
    </row>
    <row r="78" spans="1:15" x14ac:dyDescent="0.3">
      <c r="A78" t="s">
        <v>25</v>
      </c>
      <c r="B78" t="s">
        <v>64</v>
      </c>
    </row>
    <row r="79" spans="1:15" x14ac:dyDescent="0.3">
      <c r="A79" t="s">
        <v>17</v>
      </c>
      <c r="B79">
        <v>0</v>
      </c>
      <c r="C79">
        <v>1</v>
      </c>
      <c r="D79">
        <v>2</v>
      </c>
      <c r="E79">
        <v>5</v>
      </c>
      <c r="F79">
        <v>10</v>
      </c>
    </row>
    <row r="80" spans="1:15" x14ac:dyDescent="0.3">
      <c r="A80" t="s">
        <v>50</v>
      </c>
      <c r="B80">
        <v>16138</v>
      </c>
      <c r="C80">
        <v>16138</v>
      </c>
      <c r="D80">
        <v>16138</v>
      </c>
      <c r="E80">
        <v>16138</v>
      </c>
      <c r="F80">
        <v>16138</v>
      </c>
    </row>
    <row r="81" spans="1:6" x14ac:dyDescent="0.3">
      <c r="A81" t="s">
        <v>51</v>
      </c>
      <c r="B81">
        <v>12988</v>
      </c>
      <c r="C81">
        <v>12988</v>
      </c>
      <c r="D81">
        <v>12988</v>
      </c>
      <c r="E81">
        <v>12988</v>
      </c>
      <c r="F81">
        <v>12988</v>
      </c>
    </row>
    <row r="82" spans="1:6" x14ac:dyDescent="0.3">
      <c r="A82" t="s">
        <v>52</v>
      </c>
      <c r="B82">
        <v>1667710</v>
      </c>
      <c r="C82">
        <v>1667710</v>
      </c>
      <c r="D82">
        <v>1667710</v>
      </c>
      <c r="E82">
        <v>1667710</v>
      </c>
      <c r="F82">
        <v>1667710</v>
      </c>
    </row>
    <row r="85" spans="1:6" x14ac:dyDescent="0.3">
      <c r="A85" t="s">
        <v>25</v>
      </c>
      <c r="B85" t="s">
        <v>61</v>
      </c>
    </row>
    <row r="86" spans="1:6" x14ac:dyDescent="0.3">
      <c r="A86" t="s">
        <v>17</v>
      </c>
      <c r="B86">
        <v>0</v>
      </c>
      <c r="C86">
        <v>1</v>
      </c>
      <c r="D86">
        <v>2</v>
      </c>
      <c r="E86">
        <v>5</v>
      </c>
      <c r="F86">
        <v>10</v>
      </c>
    </row>
    <row r="87" spans="1:6" x14ac:dyDescent="0.3">
      <c r="A87" t="s">
        <v>50</v>
      </c>
      <c r="B87">
        <v>9445</v>
      </c>
      <c r="C87">
        <v>9445</v>
      </c>
      <c r="D87">
        <v>9445</v>
      </c>
      <c r="E87">
        <v>9445</v>
      </c>
      <c r="F87">
        <v>9445</v>
      </c>
    </row>
    <row r="88" spans="1:6" x14ac:dyDescent="0.3">
      <c r="A88" t="s">
        <v>51</v>
      </c>
      <c r="B88">
        <v>7483</v>
      </c>
      <c r="C88">
        <v>7483</v>
      </c>
      <c r="D88">
        <v>7483</v>
      </c>
      <c r="E88">
        <v>7483</v>
      </c>
      <c r="F88">
        <v>7483</v>
      </c>
    </row>
    <row r="89" spans="1:6" x14ac:dyDescent="0.3">
      <c r="A89" t="s">
        <v>52</v>
      </c>
      <c r="B89">
        <v>641221</v>
      </c>
      <c r="C89">
        <v>641221</v>
      </c>
      <c r="D89">
        <v>641221</v>
      </c>
      <c r="E89">
        <v>641221</v>
      </c>
      <c r="F89">
        <v>641221</v>
      </c>
    </row>
    <row r="92" spans="1:6" x14ac:dyDescent="0.3">
      <c r="A92" t="s">
        <v>25</v>
      </c>
      <c r="B92" t="s">
        <v>62</v>
      </c>
    </row>
    <row r="93" spans="1:6" x14ac:dyDescent="0.3">
      <c r="A93" t="s">
        <v>17</v>
      </c>
      <c r="B93">
        <v>0</v>
      </c>
      <c r="C93">
        <v>1</v>
      </c>
      <c r="D93">
        <v>2</v>
      </c>
      <c r="E93">
        <v>5</v>
      </c>
      <c r="F93">
        <v>10</v>
      </c>
    </row>
    <row r="94" spans="1:6" x14ac:dyDescent="0.3">
      <c r="A94" t="s">
        <v>50</v>
      </c>
      <c r="B94">
        <v>14721</v>
      </c>
      <c r="C94">
        <v>14632</v>
      </c>
      <c r="D94">
        <v>14632</v>
      </c>
      <c r="E94">
        <v>14632</v>
      </c>
      <c r="F94">
        <v>14632</v>
      </c>
    </row>
    <row r="95" spans="1:6" x14ac:dyDescent="0.3">
      <c r="A95" t="s">
        <v>51</v>
      </c>
      <c r="B95">
        <v>11008</v>
      </c>
      <c r="C95">
        <v>11120</v>
      </c>
      <c r="D95">
        <v>11120</v>
      </c>
      <c r="E95">
        <v>11120</v>
      </c>
      <c r="F95">
        <v>11120</v>
      </c>
    </row>
    <row r="96" spans="1:6" x14ac:dyDescent="0.3">
      <c r="A96" t="s">
        <v>52</v>
      </c>
      <c r="B96">
        <v>761708</v>
      </c>
      <c r="C96">
        <v>642869</v>
      </c>
      <c r="D96">
        <v>642869</v>
      </c>
      <c r="E96">
        <v>642869</v>
      </c>
      <c r="F96">
        <v>642869</v>
      </c>
    </row>
    <row r="99" spans="1:9" x14ac:dyDescent="0.3">
      <c r="A99" t="s">
        <v>25</v>
      </c>
      <c r="B99" t="s">
        <v>54</v>
      </c>
    </row>
    <row r="100" spans="1:9" x14ac:dyDescent="0.3">
      <c r="A100" t="s">
        <v>17</v>
      </c>
      <c r="B100">
        <v>0</v>
      </c>
      <c r="C100">
        <v>1</v>
      </c>
      <c r="D100">
        <v>2</v>
      </c>
      <c r="E100">
        <v>5</v>
      </c>
      <c r="F100">
        <v>10</v>
      </c>
      <c r="G100">
        <v>20</v>
      </c>
      <c r="H100">
        <v>30</v>
      </c>
      <c r="I100">
        <v>60</v>
      </c>
    </row>
    <row r="101" spans="1:9" x14ac:dyDescent="0.3">
      <c r="A101" t="s">
        <v>50</v>
      </c>
      <c r="B101">
        <v>31448</v>
      </c>
      <c r="C101">
        <v>31183</v>
      </c>
      <c r="D101">
        <v>31183</v>
      </c>
      <c r="E101">
        <v>31183</v>
      </c>
      <c r="F101">
        <v>31183</v>
      </c>
      <c r="G101">
        <v>31183</v>
      </c>
      <c r="H101">
        <v>31183</v>
      </c>
      <c r="I101">
        <v>31183</v>
      </c>
    </row>
    <row r="102" spans="1:9" x14ac:dyDescent="0.3">
      <c r="A102" t="s">
        <v>51</v>
      </c>
      <c r="B102">
        <v>27367</v>
      </c>
      <c r="C102">
        <v>27735</v>
      </c>
      <c r="D102">
        <v>27735</v>
      </c>
      <c r="E102">
        <v>27735</v>
      </c>
      <c r="F102">
        <v>27735</v>
      </c>
      <c r="G102">
        <v>27735</v>
      </c>
      <c r="H102">
        <v>27735</v>
      </c>
      <c r="I102">
        <v>27735</v>
      </c>
    </row>
    <row r="103" spans="1:9" x14ac:dyDescent="0.3">
      <c r="A103" t="s">
        <v>52</v>
      </c>
      <c r="B103">
        <f>1979915*50</f>
        <v>98995750</v>
      </c>
      <c r="C103">
        <f>2177831*50</f>
        <v>108891550</v>
      </c>
      <c r="D103">
        <f t="shared" ref="D103:I103" si="3">50*2177831</f>
        <v>108891550</v>
      </c>
      <c r="E103">
        <f t="shared" si="3"/>
        <v>108891550</v>
      </c>
      <c r="F103">
        <f t="shared" si="3"/>
        <v>108891550</v>
      </c>
      <c r="G103">
        <f t="shared" si="3"/>
        <v>108891550</v>
      </c>
      <c r="H103">
        <f t="shared" si="3"/>
        <v>108891550</v>
      </c>
      <c r="I103">
        <f t="shared" si="3"/>
        <v>108891550</v>
      </c>
    </row>
    <row r="104" spans="1:9" x14ac:dyDescent="0.3">
      <c r="A104" t="s">
        <v>28</v>
      </c>
      <c r="B104">
        <v>1012</v>
      </c>
      <c r="C104">
        <v>1009</v>
      </c>
      <c r="D104">
        <v>1009</v>
      </c>
      <c r="E104">
        <v>1009</v>
      </c>
      <c r="F104">
        <v>1009</v>
      </c>
      <c r="G104">
        <v>1009</v>
      </c>
      <c r="H104">
        <v>1009</v>
      </c>
      <c r="I104">
        <v>1009</v>
      </c>
    </row>
    <row r="107" spans="1:9" x14ac:dyDescent="0.3">
      <c r="A107" t="s">
        <v>25</v>
      </c>
      <c r="B107" t="s">
        <v>58</v>
      </c>
    </row>
    <row r="108" spans="1:9" x14ac:dyDescent="0.3">
      <c r="A108" t="s">
        <v>59</v>
      </c>
      <c r="B108">
        <v>0</v>
      </c>
      <c r="C108" t="s">
        <v>57</v>
      </c>
      <c r="D108" t="s">
        <v>55</v>
      </c>
      <c r="E108" t="s">
        <v>56</v>
      </c>
    </row>
    <row r="109" spans="1:9" x14ac:dyDescent="0.3">
      <c r="A109" t="s">
        <v>50</v>
      </c>
      <c r="B109">
        <v>31792</v>
      </c>
      <c r="C109">
        <v>31792</v>
      </c>
      <c r="D109">
        <v>31792</v>
      </c>
      <c r="E109">
        <v>31792</v>
      </c>
    </row>
    <row r="110" spans="1:9" x14ac:dyDescent="0.3">
      <c r="A110" t="s">
        <v>51</v>
      </c>
      <c r="B110">
        <v>24735</v>
      </c>
      <c r="C110">
        <v>24735</v>
      </c>
      <c r="D110">
        <v>24735</v>
      </c>
      <c r="E110">
        <v>24735</v>
      </c>
    </row>
    <row r="111" spans="1:9" x14ac:dyDescent="0.3">
      <c r="A111" t="s">
        <v>52</v>
      </c>
      <c r="B111">
        <f>540782-363000</f>
        <v>177782</v>
      </c>
      <c r="C111">
        <f>540782-363000</f>
        <v>177782</v>
      </c>
      <c r="D111">
        <f>540782-363000</f>
        <v>177782</v>
      </c>
      <c r="E111">
        <f>540782-363000</f>
        <v>177782</v>
      </c>
    </row>
    <row r="115" spans="1:2" x14ac:dyDescent="0.3">
      <c r="B115" t="s">
        <v>65</v>
      </c>
    </row>
    <row r="116" spans="1:2" x14ac:dyDescent="0.3">
      <c r="A116" t="s">
        <v>66</v>
      </c>
      <c r="B116" t="s">
        <v>67</v>
      </c>
    </row>
    <row r="117" spans="1:2" x14ac:dyDescent="0.3">
      <c r="A117">
        <v>7</v>
      </c>
      <c r="B117" t="s">
        <v>69</v>
      </c>
    </row>
    <row r="118" spans="1:2" x14ac:dyDescent="0.3">
      <c r="A118">
        <v>8</v>
      </c>
      <c r="B118" t="s">
        <v>68</v>
      </c>
    </row>
    <row r="119" spans="1:2" x14ac:dyDescent="0.3">
      <c r="A119">
        <v>9</v>
      </c>
      <c r="B119" t="s">
        <v>68</v>
      </c>
    </row>
    <row r="120" spans="1:2" x14ac:dyDescent="0.3">
      <c r="A120">
        <v>10</v>
      </c>
      <c r="B120" t="s">
        <v>69</v>
      </c>
    </row>
    <row r="121" spans="1:2" x14ac:dyDescent="0.3">
      <c r="A121">
        <v>11</v>
      </c>
      <c r="B121" t="s">
        <v>69</v>
      </c>
    </row>
    <row r="122" spans="1:2" x14ac:dyDescent="0.3">
      <c r="A122">
        <v>12</v>
      </c>
      <c r="B122" t="s">
        <v>69</v>
      </c>
    </row>
    <row r="123" spans="1:2" x14ac:dyDescent="0.3">
      <c r="A123">
        <v>13</v>
      </c>
      <c r="B123" t="s">
        <v>69</v>
      </c>
    </row>
    <row r="124" spans="1:2" x14ac:dyDescent="0.3">
      <c r="A124">
        <v>14</v>
      </c>
      <c r="B124" t="s">
        <v>69</v>
      </c>
    </row>
    <row r="125" spans="1:2" x14ac:dyDescent="0.3">
      <c r="A125">
        <v>15</v>
      </c>
      <c r="B125" t="s">
        <v>69</v>
      </c>
    </row>
    <row r="126" spans="1:2" x14ac:dyDescent="0.3">
      <c r="A126">
        <v>16</v>
      </c>
      <c r="B126" t="s">
        <v>69</v>
      </c>
    </row>
    <row r="127" spans="1:2" x14ac:dyDescent="0.3">
      <c r="A127">
        <v>17</v>
      </c>
      <c r="B127" t="s">
        <v>69</v>
      </c>
    </row>
    <row r="128" spans="1:2" x14ac:dyDescent="0.3">
      <c r="A128">
        <v>18</v>
      </c>
      <c r="B128" t="s">
        <v>69</v>
      </c>
    </row>
    <row r="129" spans="1:15" x14ac:dyDescent="0.3">
      <c r="A129">
        <v>19</v>
      </c>
      <c r="B129" t="s">
        <v>69</v>
      </c>
    </row>
    <row r="130" spans="1:15" x14ac:dyDescent="0.3">
      <c r="A130">
        <v>20</v>
      </c>
      <c r="B130" t="s">
        <v>69</v>
      </c>
    </row>
    <row r="131" spans="1:15" x14ac:dyDescent="0.3">
      <c r="D131" s="1" t="s">
        <v>81</v>
      </c>
    </row>
    <row r="132" spans="1:15" x14ac:dyDescent="0.3">
      <c r="A132" t="s">
        <v>73</v>
      </c>
      <c r="B132" t="s">
        <v>70</v>
      </c>
      <c r="D132" t="s">
        <v>72</v>
      </c>
    </row>
    <row r="133" spans="1:15" x14ac:dyDescent="0.3">
      <c r="A133" t="s">
        <v>25</v>
      </c>
      <c r="B133" t="s">
        <v>71</v>
      </c>
      <c r="C133" t="s">
        <v>27</v>
      </c>
      <c r="D133" t="s">
        <v>0</v>
      </c>
      <c r="E133" t="s">
        <v>26</v>
      </c>
      <c r="F133" t="s">
        <v>75</v>
      </c>
      <c r="G133" t="s">
        <v>74</v>
      </c>
      <c r="H133" t="s">
        <v>76</v>
      </c>
      <c r="I133" t="s">
        <v>77</v>
      </c>
      <c r="J133" t="s">
        <v>78</v>
      </c>
      <c r="K133" t="s">
        <v>79</v>
      </c>
    </row>
    <row r="134" spans="1:15" x14ac:dyDescent="0.3">
      <c r="A134" t="s">
        <v>50</v>
      </c>
      <c r="B134">
        <v>1768</v>
      </c>
      <c r="C134">
        <v>1768</v>
      </c>
      <c r="D134">
        <v>1790</v>
      </c>
      <c r="E134">
        <v>1766</v>
      </c>
      <c r="F134">
        <v>1768</v>
      </c>
      <c r="G134">
        <v>1806</v>
      </c>
      <c r="H134">
        <v>1768</v>
      </c>
      <c r="I134">
        <v>1773</v>
      </c>
      <c r="J134">
        <v>1768</v>
      </c>
      <c r="K134">
        <v>1771</v>
      </c>
    </row>
    <row r="135" spans="1:15" x14ac:dyDescent="0.3">
      <c r="A135" t="s">
        <v>51</v>
      </c>
      <c r="B135">
        <v>1837</v>
      </c>
      <c r="C135">
        <v>1837</v>
      </c>
      <c r="D135">
        <v>1913</v>
      </c>
      <c r="E135">
        <v>1863</v>
      </c>
      <c r="F135">
        <v>1837</v>
      </c>
      <c r="G135">
        <v>1868</v>
      </c>
      <c r="H135">
        <v>1837</v>
      </c>
      <c r="I135">
        <v>1892</v>
      </c>
      <c r="J135">
        <v>1868</v>
      </c>
      <c r="K135">
        <v>1840</v>
      </c>
    </row>
    <row r="136" spans="1:15" x14ac:dyDescent="0.3">
      <c r="A136" t="s">
        <v>52</v>
      </c>
      <c r="B136">
        <v>88619</v>
      </c>
      <c r="C136">
        <v>87575</v>
      </c>
      <c r="D136">
        <v>69575</v>
      </c>
      <c r="E136">
        <v>86759</v>
      </c>
      <c r="F136">
        <v>88619</v>
      </c>
      <c r="G136">
        <v>78036</v>
      </c>
      <c r="H136">
        <v>88619</v>
      </c>
      <c r="I136">
        <v>77737</v>
      </c>
      <c r="J136">
        <v>87634</v>
      </c>
      <c r="K136">
        <v>88486</v>
      </c>
    </row>
    <row r="137" spans="1:15" x14ac:dyDescent="0.3">
      <c r="A137" t="s">
        <v>80</v>
      </c>
      <c r="B137">
        <f>AVERAGE(B136/47, B135, B134)</f>
        <v>1830.1702127659573</v>
      </c>
      <c r="C137">
        <f t="shared" ref="C137:K137" si="4">AVERAGE(C136/47, C135, C134)</f>
        <v>1822.7659574468087</v>
      </c>
      <c r="D137">
        <f t="shared" si="4"/>
        <v>1727.7730496453903</v>
      </c>
      <c r="E137">
        <f t="shared" si="4"/>
        <v>1824.9787234042553</v>
      </c>
      <c r="F137">
        <f t="shared" si="4"/>
        <v>1830.1702127659573</v>
      </c>
      <c r="G137">
        <f t="shared" si="4"/>
        <v>1778.113475177305</v>
      </c>
      <c r="H137">
        <f t="shared" si="4"/>
        <v>1830.1702127659573</v>
      </c>
      <c r="I137">
        <f t="shared" si="4"/>
        <v>1772.9929078014184</v>
      </c>
      <c r="J137">
        <f t="shared" si="4"/>
        <v>1833.5177304964539</v>
      </c>
      <c r="K137">
        <f t="shared" si="4"/>
        <v>1831.2269503546097</v>
      </c>
    </row>
    <row r="140" spans="1:15" x14ac:dyDescent="0.3">
      <c r="A140" t="s">
        <v>25</v>
      </c>
      <c r="B140" t="s">
        <v>82</v>
      </c>
      <c r="C140" t="s">
        <v>84</v>
      </c>
    </row>
    <row r="141" spans="1:15" x14ac:dyDescent="0.3">
      <c r="A141" t="s">
        <v>83</v>
      </c>
      <c r="B141" s="7">
        <v>7</v>
      </c>
      <c r="C141" s="7">
        <v>8</v>
      </c>
      <c r="D141" s="7">
        <v>9</v>
      </c>
      <c r="E141" s="7">
        <v>10</v>
      </c>
      <c r="F141" s="7">
        <v>12</v>
      </c>
      <c r="G141" s="7">
        <v>15</v>
      </c>
      <c r="H141" s="7">
        <v>21</v>
      </c>
      <c r="I141" s="8">
        <v>25</v>
      </c>
      <c r="J141" s="8">
        <v>28</v>
      </c>
      <c r="K141" s="7">
        <v>30</v>
      </c>
      <c r="L141" s="7">
        <v>35</v>
      </c>
      <c r="M141" s="7">
        <v>40</v>
      </c>
      <c r="N141" s="7">
        <v>42</v>
      </c>
      <c r="O141" t="s">
        <v>83</v>
      </c>
    </row>
    <row r="142" spans="1:15" x14ac:dyDescent="0.3">
      <c r="A142" t="s">
        <v>86</v>
      </c>
      <c r="B142" s="7">
        <v>30</v>
      </c>
      <c r="C142" s="7">
        <v>32</v>
      </c>
      <c r="D142" s="7">
        <v>46</v>
      </c>
      <c r="E142" s="7">
        <v>59</v>
      </c>
      <c r="F142" s="7">
        <v>93</v>
      </c>
      <c r="G142" s="7">
        <v>125</v>
      </c>
      <c r="H142" s="7">
        <v>154</v>
      </c>
      <c r="I142" s="8">
        <v>165</v>
      </c>
      <c r="J142" s="8">
        <v>167</v>
      </c>
      <c r="K142" s="7">
        <v>163</v>
      </c>
      <c r="L142" s="7">
        <v>89</v>
      </c>
      <c r="M142" s="7">
        <v>91</v>
      </c>
      <c r="N142" s="7">
        <v>25</v>
      </c>
      <c r="O142" t="s">
        <v>86</v>
      </c>
    </row>
    <row r="143" spans="1:15" x14ac:dyDescent="0.3">
      <c r="A143" t="s">
        <v>87</v>
      </c>
      <c r="B143" s="7">
        <v>210</v>
      </c>
      <c r="C143" s="7">
        <v>256</v>
      </c>
      <c r="D143" s="7">
        <v>414</v>
      </c>
      <c r="E143" s="7">
        <v>590</v>
      </c>
      <c r="F143" s="7">
        <v>1116</v>
      </c>
      <c r="G143" s="7">
        <v>1875</v>
      </c>
      <c r="H143" s="7">
        <v>3234</v>
      </c>
      <c r="I143" s="8">
        <v>4125</v>
      </c>
      <c r="J143" s="8">
        <v>4676</v>
      </c>
      <c r="K143" s="7">
        <v>4890</v>
      </c>
      <c r="L143" s="7">
        <v>3115</v>
      </c>
      <c r="M143" s="7">
        <v>3640</v>
      </c>
      <c r="N143" s="7">
        <v>1050</v>
      </c>
      <c r="O143" t="s">
        <v>87</v>
      </c>
    </row>
    <row r="144" spans="1:15" x14ac:dyDescent="0.3">
      <c r="A144" t="s">
        <v>93</v>
      </c>
      <c r="B144" s="7" t="s">
        <v>94</v>
      </c>
      <c r="C144" s="7" t="s">
        <v>95</v>
      </c>
      <c r="D144" s="7" t="s">
        <v>95</v>
      </c>
      <c r="E144" s="7" t="s">
        <v>95</v>
      </c>
      <c r="F144" s="7" t="s">
        <v>96</v>
      </c>
      <c r="G144" s="7" t="s">
        <v>97</v>
      </c>
      <c r="H144" s="7" t="s">
        <v>94</v>
      </c>
      <c r="I144" s="8" t="s">
        <v>99</v>
      </c>
      <c r="J144" s="8" t="s">
        <v>100</v>
      </c>
      <c r="K144" s="7" t="s">
        <v>101</v>
      </c>
      <c r="L144" s="7" t="s">
        <v>102</v>
      </c>
      <c r="M144" s="7" t="s">
        <v>45</v>
      </c>
      <c r="N144" s="7" t="s">
        <v>103</v>
      </c>
      <c r="O144" t="s">
        <v>93</v>
      </c>
    </row>
    <row r="145" spans="1:22" x14ac:dyDescent="0.3">
      <c r="A145" t="s">
        <v>88</v>
      </c>
      <c r="B145" s="7" t="s">
        <v>89</v>
      </c>
      <c r="C145" s="7" t="s">
        <v>89</v>
      </c>
      <c r="D145" s="7" t="s">
        <v>89</v>
      </c>
      <c r="E145" s="7" t="s">
        <v>89</v>
      </c>
      <c r="F145" s="7" t="s">
        <v>89</v>
      </c>
      <c r="G145" s="7" t="s">
        <v>98</v>
      </c>
      <c r="H145" s="7" t="s">
        <v>98</v>
      </c>
      <c r="I145" s="8" t="s">
        <v>98</v>
      </c>
      <c r="J145" s="8" t="s">
        <v>89</v>
      </c>
      <c r="K145" s="7" t="s">
        <v>89</v>
      </c>
      <c r="L145" s="7" t="s">
        <v>89</v>
      </c>
      <c r="M145" s="7" t="s">
        <v>45</v>
      </c>
      <c r="N145" s="7" t="s">
        <v>98</v>
      </c>
      <c r="O145" t="s">
        <v>88</v>
      </c>
    </row>
    <row r="146" spans="1:22" x14ac:dyDescent="0.3">
      <c r="A146" t="s">
        <v>50</v>
      </c>
      <c r="B146" s="8">
        <v>1713</v>
      </c>
      <c r="C146" s="8">
        <v>1966</v>
      </c>
      <c r="D146" s="8">
        <v>3149</v>
      </c>
      <c r="E146" s="8">
        <v>3677</v>
      </c>
      <c r="F146">
        <v>6497</v>
      </c>
      <c r="G146">
        <v>13222</v>
      </c>
      <c r="H146">
        <v>23956</v>
      </c>
      <c r="I146">
        <v>35142</v>
      </c>
      <c r="J146">
        <v>39977</v>
      </c>
      <c r="K146">
        <v>33533</v>
      </c>
      <c r="L146">
        <v>26349</v>
      </c>
      <c r="M146" s="7" t="s">
        <v>45</v>
      </c>
      <c r="N146">
        <v>8953</v>
      </c>
      <c r="O146" t="s">
        <v>50</v>
      </c>
      <c r="R146" t="s">
        <v>27</v>
      </c>
      <c r="T146" t="s">
        <v>0</v>
      </c>
      <c r="V146" t="s">
        <v>26</v>
      </c>
    </row>
    <row r="147" spans="1:22" x14ac:dyDescent="0.3">
      <c r="A147" t="s">
        <v>51</v>
      </c>
      <c r="B147" s="8">
        <v>1632</v>
      </c>
      <c r="C147" s="8">
        <v>2031</v>
      </c>
      <c r="D147" s="8">
        <v>3068</v>
      </c>
      <c r="E147" s="8">
        <v>3322</v>
      </c>
      <c r="F147">
        <v>6027</v>
      </c>
      <c r="G147">
        <v>11915</v>
      </c>
      <c r="H147">
        <v>22637</v>
      </c>
      <c r="I147">
        <v>32098</v>
      </c>
      <c r="J147">
        <v>35670</v>
      </c>
      <c r="K147">
        <v>34496</v>
      </c>
      <c r="L147">
        <v>25271</v>
      </c>
      <c r="M147" s="7" t="s">
        <v>45</v>
      </c>
      <c r="N147">
        <v>9003</v>
      </c>
      <c r="O147" t="s">
        <v>51</v>
      </c>
      <c r="Q147" t="s">
        <v>50</v>
      </c>
      <c r="R147">
        <v>1768</v>
      </c>
      <c r="S147" t="s">
        <v>50</v>
      </c>
      <c r="T147">
        <v>1790</v>
      </c>
      <c r="U147" t="s">
        <v>50</v>
      </c>
      <c r="V147">
        <v>1766</v>
      </c>
    </row>
    <row r="148" spans="1:22" x14ac:dyDescent="0.3">
      <c r="A148" t="s">
        <v>85</v>
      </c>
      <c r="B148" s="8">
        <v>74168</v>
      </c>
      <c r="C148" s="8">
        <v>74014</v>
      </c>
      <c r="D148" s="8">
        <v>136986</v>
      </c>
      <c r="E148" s="8">
        <v>148030</v>
      </c>
      <c r="F148">
        <v>337583</v>
      </c>
      <c r="G148">
        <v>388942</v>
      </c>
      <c r="H148">
        <v>752213</v>
      </c>
      <c r="I148">
        <v>1107399</v>
      </c>
      <c r="J148">
        <v>922383</v>
      </c>
      <c r="K148">
        <v>1892849</v>
      </c>
      <c r="L148">
        <v>1129074</v>
      </c>
      <c r="M148" s="7" t="s">
        <v>45</v>
      </c>
      <c r="N148">
        <v>445200</v>
      </c>
      <c r="O148" t="s">
        <v>85</v>
      </c>
      <c r="Q148" t="s">
        <v>51</v>
      </c>
      <c r="R148">
        <v>1837</v>
      </c>
      <c r="S148" t="s">
        <v>51</v>
      </c>
      <c r="T148">
        <v>1913</v>
      </c>
      <c r="U148" t="s">
        <v>51</v>
      </c>
      <c r="V148">
        <v>1863</v>
      </c>
    </row>
    <row r="149" spans="1:22" x14ac:dyDescent="0.3">
      <c r="A149" t="s">
        <v>90</v>
      </c>
      <c r="B149" s="8">
        <f>1713/210</f>
        <v>8.1571428571428566</v>
      </c>
      <c r="C149" s="8">
        <f>1966/256</f>
        <v>7.6796875</v>
      </c>
      <c r="D149" s="8">
        <f>3149/414</f>
        <v>7.6062801932367146</v>
      </c>
      <c r="E149" s="8">
        <f>3677/590</f>
        <v>6.2322033898305085</v>
      </c>
      <c r="F149">
        <f>6497/1116</f>
        <v>5.8216845878136203</v>
      </c>
      <c r="G149">
        <f>13222/1875</f>
        <v>7.051733333333333</v>
      </c>
      <c r="H149">
        <f>23956/3234</f>
        <v>7.4075448361162648</v>
      </c>
      <c r="I149">
        <f>35142/4125</f>
        <v>8.5192727272727264</v>
      </c>
      <c r="J149">
        <f>39977/4676</f>
        <v>8.5494011976047908</v>
      </c>
      <c r="K149">
        <f>33533/4890</f>
        <v>6.8574642126789369</v>
      </c>
      <c r="L149">
        <f>26349/3115</f>
        <v>8.4587479935794541</v>
      </c>
      <c r="M149" s="7" t="s">
        <v>45</v>
      </c>
      <c r="N149">
        <f>8953/1050</f>
        <v>8.5266666666666673</v>
      </c>
      <c r="O149" t="s">
        <v>90</v>
      </c>
      <c r="Q149" t="s">
        <v>52</v>
      </c>
      <c r="R149">
        <v>875</v>
      </c>
      <c r="S149" t="s">
        <v>52</v>
      </c>
      <c r="T149">
        <v>695</v>
      </c>
      <c r="U149" t="s">
        <v>52</v>
      </c>
      <c r="V149">
        <v>867</v>
      </c>
    </row>
    <row r="150" spans="1:22" x14ac:dyDescent="0.3">
      <c r="A150" t="s">
        <v>91</v>
      </c>
      <c r="B150" s="8">
        <f>1632/210</f>
        <v>7.7714285714285714</v>
      </c>
      <c r="C150" s="8">
        <f>2031/256</f>
        <v>7.93359375</v>
      </c>
      <c r="D150" s="8">
        <f>3068/414</f>
        <v>7.4106280193236715</v>
      </c>
      <c r="E150" s="8">
        <f>3322/590</f>
        <v>5.6305084745762715</v>
      </c>
      <c r="F150">
        <f>6027/1116</f>
        <v>5.400537634408602</v>
      </c>
      <c r="G150">
        <f>11915/1875</f>
        <v>6.3546666666666667</v>
      </c>
      <c r="H150">
        <f>22637/3234</f>
        <v>6.9996907854050709</v>
      </c>
      <c r="I150">
        <f>32098/4125</f>
        <v>7.7813333333333334</v>
      </c>
      <c r="J150">
        <f>35670/4676</f>
        <v>7.6283147989734816</v>
      </c>
      <c r="K150">
        <f>34496/4890</f>
        <v>7.0543967280163598</v>
      </c>
      <c r="L150">
        <f>25271/3115</f>
        <v>8.1126805778491171</v>
      </c>
      <c r="M150" s="7" t="s">
        <v>45</v>
      </c>
      <c r="N150">
        <f>9003/1050</f>
        <v>8.5742857142857147</v>
      </c>
      <c r="O150" t="s">
        <v>91</v>
      </c>
    </row>
    <row r="151" spans="1:22" x14ac:dyDescent="0.3">
      <c r="A151" t="s">
        <v>92</v>
      </c>
      <c r="B151" s="8">
        <f>74168/210</f>
        <v>353.18095238095236</v>
      </c>
      <c r="C151" s="8">
        <f>74014/256</f>
        <v>289.1171875</v>
      </c>
      <c r="D151" s="8">
        <f>136986/414</f>
        <v>330.8840579710145</v>
      </c>
      <c r="E151" s="8">
        <f>148030/590</f>
        <v>250.89830508474577</v>
      </c>
      <c r="F151">
        <f>337583/1116</f>
        <v>302.4937275985663</v>
      </c>
      <c r="G151">
        <f>388942/1875</f>
        <v>207.43573333333333</v>
      </c>
      <c r="H151">
        <f>752213/3234</f>
        <v>232.5952380952381</v>
      </c>
      <c r="I151">
        <f>1107399/4125</f>
        <v>268.46036363636364</v>
      </c>
      <c r="J151">
        <f>922383/4676</f>
        <v>197.25898203592814</v>
      </c>
      <c r="K151">
        <f>1892849/4890</f>
        <v>387.08568507157463</v>
      </c>
      <c r="L151">
        <f>1129074/3115</f>
        <v>362.46356340288924</v>
      </c>
      <c r="M151" s="7" t="s">
        <v>45</v>
      </c>
      <c r="N151">
        <f>445200/1050</f>
        <v>424</v>
      </c>
      <c r="O151" t="s">
        <v>92</v>
      </c>
    </row>
    <row r="154" spans="1:22" x14ac:dyDescent="0.3">
      <c r="A154" t="s">
        <v>25</v>
      </c>
      <c r="B154" t="s">
        <v>104</v>
      </c>
      <c r="C154" t="s">
        <v>105</v>
      </c>
      <c r="D154" t="s">
        <v>107</v>
      </c>
    </row>
    <row r="155" spans="1:22" x14ac:dyDescent="0.3">
      <c r="A155" t="s">
        <v>106</v>
      </c>
      <c r="B155">
        <v>104</v>
      </c>
      <c r="C155">
        <v>204</v>
      </c>
      <c r="D155">
        <v>511</v>
      </c>
      <c r="E155">
        <v>1037</v>
      </c>
      <c r="F155">
        <v>1568</v>
      </c>
      <c r="G155">
        <v>2149</v>
      </c>
      <c r="H155">
        <v>2657</v>
      </c>
      <c r="I155">
        <v>3075</v>
      </c>
      <c r="J155">
        <v>3505</v>
      </c>
      <c r="K155">
        <v>4025</v>
      </c>
      <c r="L155">
        <v>5043</v>
      </c>
      <c r="M155">
        <v>6085</v>
      </c>
    </row>
    <row r="156" spans="1:22" x14ac:dyDescent="0.3">
      <c r="A156" t="s">
        <v>50</v>
      </c>
      <c r="B156">
        <v>851</v>
      </c>
      <c r="C156">
        <v>1821</v>
      </c>
      <c r="D156">
        <v>4617</v>
      </c>
      <c r="E156">
        <v>9044</v>
      </c>
      <c r="F156">
        <v>14108</v>
      </c>
      <c r="G156">
        <v>18991</v>
      </c>
      <c r="H156">
        <v>23556</v>
      </c>
      <c r="I156">
        <v>27895</v>
      </c>
      <c r="J156">
        <v>31368</v>
      </c>
      <c r="K156" t="s">
        <v>45</v>
      </c>
      <c r="L156" t="s">
        <v>45</v>
      </c>
      <c r="M156" t="s">
        <v>45</v>
      </c>
    </row>
    <row r="157" spans="1:22" x14ac:dyDescent="0.3">
      <c r="A157" t="s">
        <v>51</v>
      </c>
      <c r="B157">
        <v>865</v>
      </c>
      <c r="C157">
        <v>1646</v>
      </c>
      <c r="D157">
        <v>4454</v>
      </c>
      <c r="E157">
        <v>8634</v>
      </c>
      <c r="F157">
        <v>12212</v>
      </c>
      <c r="G157">
        <v>17782</v>
      </c>
      <c r="H157">
        <v>21449</v>
      </c>
      <c r="I157">
        <v>25804</v>
      </c>
      <c r="J157">
        <v>28934</v>
      </c>
      <c r="K157" t="s">
        <v>45</v>
      </c>
      <c r="L157" t="s">
        <v>45</v>
      </c>
      <c r="M157" t="s">
        <v>45</v>
      </c>
    </row>
    <row r="158" spans="1:22" x14ac:dyDescent="0.3">
      <c r="A158" t="s">
        <v>85</v>
      </c>
      <c r="B158">
        <v>58649</v>
      </c>
      <c r="C158">
        <v>79523</v>
      </c>
      <c r="D158">
        <v>182057</v>
      </c>
      <c r="E158">
        <v>401520</v>
      </c>
      <c r="F158">
        <v>617231</v>
      </c>
      <c r="G158">
        <v>763670</v>
      </c>
      <c r="H158">
        <v>1104941</v>
      </c>
      <c r="I158">
        <v>1039116</v>
      </c>
      <c r="J158">
        <v>1490343</v>
      </c>
      <c r="K158" t="s">
        <v>45</v>
      </c>
      <c r="L158" t="s">
        <v>45</v>
      </c>
      <c r="M158" t="s">
        <v>45</v>
      </c>
    </row>
    <row r="159" spans="1:22" x14ac:dyDescent="0.3">
      <c r="A159" t="s">
        <v>90</v>
      </c>
      <c r="B159">
        <f>851/104</f>
        <v>8.1826923076923084</v>
      </c>
      <c r="C159">
        <f>1821/204</f>
        <v>8.9264705882352935</v>
      </c>
      <c r="D159">
        <f>4617/511</f>
        <v>9.0352250489236798</v>
      </c>
      <c r="E159">
        <f>9044/1037</f>
        <v>8.721311475409836</v>
      </c>
      <c r="F159">
        <f>14108/1568</f>
        <v>8.9974489795918373</v>
      </c>
      <c r="G159">
        <f>18991/2149</f>
        <v>8.8371335504886002</v>
      </c>
      <c r="H159">
        <f>23556/2657</f>
        <v>8.8656379375235232</v>
      </c>
      <c r="I159">
        <f>27895/3075</f>
        <v>9.0715447154471551</v>
      </c>
      <c r="J159">
        <f>31368/3505</f>
        <v>8.9495007132667617</v>
      </c>
      <c r="K159" t="s">
        <v>45</v>
      </c>
      <c r="L159" t="s">
        <v>45</v>
      </c>
      <c r="M159" t="s">
        <v>45</v>
      </c>
    </row>
    <row r="160" spans="1:22" x14ac:dyDescent="0.3">
      <c r="A160" t="s">
        <v>91</v>
      </c>
      <c r="B160">
        <f>865/104</f>
        <v>8.3173076923076916</v>
      </c>
      <c r="C160">
        <f>1646/204</f>
        <v>8.0686274509803919</v>
      </c>
      <c r="D160">
        <f>4454/511</f>
        <v>8.7162426614481401</v>
      </c>
      <c r="E160">
        <f>8634/1037</f>
        <v>8.3259402121504333</v>
      </c>
      <c r="F160">
        <f>12212/1568</f>
        <v>7.7882653061224492</v>
      </c>
      <c r="G160">
        <f>17782/2149</f>
        <v>8.274546300604932</v>
      </c>
      <c r="H160">
        <f>21449/2657</f>
        <v>8.0726383138878433</v>
      </c>
      <c r="I160">
        <f>25804/3075</f>
        <v>8.3915447154471536</v>
      </c>
      <c r="J160">
        <f>28934/3505</f>
        <v>8.2550641940085594</v>
      </c>
      <c r="K160" t="s">
        <v>45</v>
      </c>
      <c r="L160" t="s">
        <v>45</v>
      </c>
      <c r="M160" t="s">
        <v>45</v>
      </c>
    </row>
    <row r="161" spans="1:13" x14ac:dyDescent="0.3">
      <c r="A161" t="s">
        <v>92</v>
      </c>
      <c r="B161">
        <f>58649/104</f>
        <v>563.93269230769226</v>
      </c>
      <c r="C161">
        <f>79523/204</f>
        <v>389.81862745098039</v>
      </c>
      <c r="D161">
        <f>182057/511</f>
        <v>356.27592954990217</v>
      </c>
      <c r="E161">
        <f>401520/1037</f>
        <v>387.19382835101254</v>
      </c>
      <c r="F161">
        <f>617231/1568</f>
        <v>393.64221938775512</v>
      </c>
      <c r="G161">
        <f>763670/2149</f>
        <v>355.36063285248952</v>
      </c>
      <c r="H161">
        <f>1104941/2657</f>
        <v>415.86036883703423</v>
      </c>
      <c r="I161">
        <f>1039116/3075</f>
        <v>337.9239024390244</v>
      </c>
      <c r="J161">
        <f>1490343/3505</f>
        <v>425.20485021398002</v>
      </c>
      <c r="K161" t="s">
        <v>45</v>
      </c>
      <c r="L161" t="s">
        <v>45</v>
      </c>
      <c r="M161" t="s">
        <v>45</v>
      </c>
    </row>
    <row r="163" spans="1:13" x14ac:dyDescent="0.3">
      <c r="A163" t="s">
        <v>108</v>
      </c>
      <c r="B163">
        <v>1</v>
      </c>
      <c r="C163">
        <v>2</v>
      </c>
      <c r="D163">
        <v>3</v>
      </c>
      <c r="E163">
        <v>4</v>
      </c>
      <c r="F163">
        <v>5</v>
      </c>
      <c r="G163">
        <v>6</v>
      </c>
      <c r="H163">
        <v>7</v>
      </c>
      <c r="I163">
        <v>8</v>
      </c>
      <c r="J163">
        <v>9</v>
      </c>
    </row>
    <row r="164" spans="1:13" x14ac:dyDescent="0.3">
      <c r="A164" t="s">
        <v>106</v>
      </c>
      <c r="B164">
        <v>3011</v>
      </c>
      <c r="C164">
        <v>3149</v>
      </c>
      <c r="D164">
        <v>3054</v>
      </c>
      <c r="E164">
        <v>3093</v>
      </c>
      <c r="F164">
        <v>3154</v>
      </c>
      <c r="G164">
        <v>3077</v>
      </c>
      <c r="H164">
        <v>3026</v>
      </c>
      <c r="I164">
        <v>3012</v>
      </c>
      <c r="J164">
        <v>2000</v>
      </c>
    </row>
    <row r="165" spans="1:13" x14ac:dyDescent="0.3">
      <c r="A165" t="s">
        <v>50</v>
      </c>
      <c r="B165">
        <v>27241</v>
      </c>
      <c r="C165">
        <v>30681</v>
      </c>
      <c r="D165">
        <v>31253</v>
      </c>
      <c r="E165">
        <v>29389</v>
      </c>
      <c r="F165">
        <v>30123</v>
      </c>
      <c r="G165">
        <v>30477</v>
      </c>
      <c r="H165">
        <v>29196</v>
      </c>
      <c r="I165">
        <v>28656</v>
      </c>
      <c r="J165">
        <v>20250</v>
      </c>
    </row>
    <row r="166" spans="1:13" x14ac:dyDescent="0.3">
      <c r="A166" t="s">
        <v>51</v>
      </c>
      <c r="B166">
        <v>24796</v>
      </c>
      <c r="C166">
        <v>27340</v>
      </c>
      <c r="D166">
        <v>27585</v>
      </c>
      <c r="E166">
        <v>28174</v>
      </c>
      <c r="F166">
        <v>28021</v>
      </c>
      <c r="G166">
        <v>27233</v>
      </c>
      <c r="H166">
        <v>25906</v>
      </c>
      <c r="I166">
        <v>24330</v>
      </c>
      <c r="J166">
        <v>17068</v>
      </c>
    </row>
    <row r="167" spans="1:13" x14ac:dyDescent="0.3">
      <c r="A167" t="s">
        <v>85</v>
      </c>
      <c r="B167">
        <v>1128873</v>
      </c>
      <c r="C167">
        <v>826028</v>
      </c>
      <c r="D167">
        <v>747515</v>
      </c>
      <c r="E167">
        <v>1252003</v>
      </c>
      <c r="F167">
        <v>1043889</v>
      </c>
      <c r="G167">
        <v>852864</v>
      </c>
      <c r="H167">
        <v>768373</v>
      </c>
      <c r="I167">
        <v>1098457</v>
      </c>
      <c r="J167">
        <v>607663</v>
      </c>
    </row>
    <row r="168" spans="1:13" x14ac:dyDescent="0.3">
      <c r="A168" t="s">
        <v>90</v>
      </c>
      <c r="B168">
        <f>(27241/3011)</f>
        <v>9.0471604118233149</v>
      </c>
      <c r="C168">
        <f>30681/3149</f>
        <v>9.743093045411241</v>
      </c>
      <c r="D168">
        <f>31253/3054</f>
        <v>10.233464309102816</v>
      </c>
      <c r="E168">
        <f>29389/3093</f>
        <v>9.5017782088587133</v>
      </c>
      <c r="F168">
        <f>30123/3154</f>
        <v>9.5507292327203555</v>
      </c>
      <c r="G168">
        <f>30477/3077</f>
        <v>9.904777380565486</v>
      </c>
      <c r="H168">
        <f>29196/3026</f>
        <v>9.6483807005948439</v>
      </c>
      <c r="I168">
        <f>28656/3012</f>
        <v>9.5139442231075702</v>
      </c>
      <c r="J168">
        <f>20250/2000</f>
        <v>10.125</v>
      </c>
    </row>
    <row r="169" spans="1:13" x14ac:dyDescent="0.3">
      <c r="A169" t="s">
        <v>91</v>
      </c>
      <c r="B169">
        <f>(24796/3011)</f>
        <v>8.235137827964131</v>
      </c>
      <c r="C169">
        <f>27340/3149</f>
        <v>8.6821213083518582</v>
      </c>
      <c r="D169">
        <f>27585/3054</f>
        <v>9.0324165029469548</v>
      </c>
      <c r="E169">
        <f>28174/3093</f>
        <v>9.1089557064338837</v>
      </c>
      <c r="F169">
        <f>28021/3154</f>
        <v>8.8842739378566904</v>
      </c>
      <c r="G169">
        <f>27233/3077</f>
        <v>8.850503737406564</v>
      </c>
      <c r="H169">
        <f>25906/3026</f>
        <v>8.5611368142762725</v>
      </c>
      <c r="I169">
        <f>24330/3012</f>
        <v>8.0776892430278888</v>
      </c>
      <c r="J169">
        <f>17068/2000</f>
        <v>8.5340000000000007</v>
      </c>
    </row>
    <row r="170" spans="1:13" x14ac:dyDescent="0.3">
      <c r="A170" t="s">
        <v>92</v>
      </c>
      <c r="B170">
        <f>(1128873/3011)</f>
        <v>374.91630687479244</v>
      </c>
      <c r="C170">
        <f>826028/3149</f>
        <v>262.31438551921246</v>
      </c>
      <c r="D170">
        <f>747515/3054</f>
        <v>244.76588081204977</v>
      </c>
      <c r="E170">
        <f>1252003/3093</f>
        <v>404.78596831555126</v>
      </c>
      <c r="F170">
        <f>1043889/3154</f>
        <v>330.97305009511729</v>
      </c>
      <c r="G170">
        <f>852864/3077</f>
        <v>277.17387065323368</v>
      </c>
      <c r="H170">
        <f>768373/3026</f>
        <v>253.92366159947125</v>
      </c>
      <c r="I170">
        <f>1098457/3012</f>
        <v>364.69355909694553</v>
      </c>
      <c r="J170">
        <f>607663/2000</f>
        <v>303.83150000000001</v>
      </c>
    </row>
    <row r="172" spans="1:13" x14ac:dyDescent="0.3">
      <c r="A172" t="s">
        <v>109</v>
      </c>
    </row>
    <row r="173" spans="1:13" x14ac:dyDescent="0.3">
      <c r="A173" t="s">
        <v>110</v>
      </c>
      <c r="B173">
        <v>1</v>
      </c>
      <c r="J173">
        <v>9</v>
      </c>
    </row>
    <row r="174" spans="1:13" x14ac:dyDescent="0.3">
      <c r="A174" t="s">
        <v>106</v>
      </c>
      <c r="B174">
        <v>3011</v>
      </c>
      <c r="J174">
        <v>2000</v>
      </c>
    </row>
    <row r="175" spans="1:13" x14ac:dyDescent="0.3">
      <c r="A175" t="s">
        <v>50</v>
      </c>
      <c r="B175">
        <v>27665</v>
      </c>
      <c r="J175">
        <v>20337</v>
      </c>
    </row>
    <row r="176" spans="1:13" x14ac:dyDescent="0.3">
      <c r="A176" t="s">
        <v>51</v>
      </c>
      <c r="B176">
        <v>21977</v>
      </c>
      <c r="J176">
        <v>15733</v>
      </c>
    </row>
    <row r="177" spans="1:10" x14ac:dyDescent="0.3">
      <c r="A177" t="s">
        <v>85</v>
      </c>
      <c r="B177">
        <v>830515</v>
      </c>
      <c r="J177">
        <v>600977</v>
      </c>
    </row>
    <row r="178" spans="1:10" x14ac:dyDescent="0.3">
      <c r="A178" t="s">
        <v>90</v>
      </c>
      <c r="B178">
        <f>27665/3011</f>
        <v>9.1879774161408179</v>
      </c>
      <c r="J178">
        <f>20337/2000</f>
        <v>10.1685</v>
      </c>
    </row>
    <row r="179" spans="1:10" x14ac:dyDescent="0.3">
      <c r="A179" t="s">
        <v>91</v>
      </c>
      <c r="B179">
        <f>21977/3011</f>
        <v>7.2989040185984724</v>
      </c>
      <c r="J179">
        <f>15733/2000</f>
        <v>7.8665000000000003</v>
      </c>
    </row>
    <row r="180" spans="1:10" x14ac:dyDescent="0.3">
      <c r="A180" t="s">
        <v>92</v>
      </c>
      <c r="B180">
        <f>830515/3011</f>
        <v>275.82696778478913</v>
      </c>
      <c r="J180">
        <f>600977/2000</f>
        <v>300.48849999999999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2022-05-23T17:02:49Z</dcterms:created>
  <dcterms:modified xsi:type="dcterms:W3CDTF">2022-06-18T21:24:52Z</dcterms:modified>
</cp:coreProperties>
</file>