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Output\Test\"/>
    </mc:Choice>
  </mc:AlternateContent>
  <xr:revisionPtr revIDLastSave="0" documentId="13_ncr:1_{808181EF-26E5-43F9-80AF-67574732FDE2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8" i="1" l="1"/>
  <c r="B189" i="1"/>
  <c r="B190" i="1"/>
  <c r="B191" i="1"/>
  <c r="D190" i="1"/>
  <c r="E190" i="1"/>
  <c r="F190" i="1"/>
  <c r="G190" i="1"/>
  <c r="H190" i="1"/>
  <c r="C190" i="1"/>
  <c r="C189" i="1"/>
  <c r="D189" i="1"/>
  <c r="E189" i="1"/>
  <c r="F189" i="1"/>
  <c r="G189" i="1"/>
  <c r="H189" i="1"/>
  <c r="C191" i="1"/>
  <c r="D191" i="1"/>
  <c r="E191" i="1"/>
  <c r="F191" i="1"/>
  <c r="G191" i="1"/>
  <c r="H191" i="1"/>
  <c r="D188" i="1"/>
  <c r="E188" i="1"/>
  <c r="F188" i="1"/>
  <c r="G188" i="1"/>
  <c r="H188" i="1"/>
  <c r="C188" i="1"/>
  <c r="B134" i="1" l="1"/>
  <c r="C134" i="1"/>
  <c r="D134" i="1"/>
  <c r="E134" i="1"/>
  <c r="F134" i="1"/>
  <c r="G134" i="1"/>
  <c r="H134" i="1"/>
  <c r="I134" i="1"/>
  <c r="J134" i="1"/>
  <c r="K134" i="1"/>
  <c r="C133" i="1"/>
  <c r="D133" i="1"/>
  <c r="E133" i="1"/>
  <c r="F133" i="1"/>
  <c r="G133" i="1"/>
  <c r="H133" i="1"/>
  <c r="I133" i="1"/>
  <c r="J133" i="1"/>
  <c r="K133" i="1"/>
  <c r="B133" i="1"/>
  <c r="AJ160" i="1"/>
  <c r="AI160" i="1"/>
  <c r="AH160" i="1"/>
  <c r="AG160" i="1"/>
  <c r="AF160" i="1"/>
  <c r="AE160" i="1"/>
  <c r="AD160" i="1"/>
  <c r="AC160" i="1"/>
  <c r="AB160" i="1"/>
  <c r="AJ159" i="1"/>
  <c r="AI159" i="1"/>
  <c r="AH159" i="1"/>
  <c r="AG159" i="1"/>
  <c r="AF159" i="1"/>
  <c r="AE159" i="1"/>
  <c r="AD159" i="1"/>
  <c r="AC159" i="1"/>
  <c r="AB159" i="1"/>
  <c r="AJ158" i="1"/>
  <c r="AI158" i="1"/>
  <c r="AH158" i="1"/>
  <c r="AG158" i="1"/>
  <c r="AF158" i="1"/>
  <c r="AE158" i="1"/>
  <c r="AD158" i="1"/>
  <c r="AC158" i="1"/>
  <c r="AB158" i="1"/>
  <c r="H180" i="1"/>
  <c r="H179" i="1"/>
  <c r="H178" i="1"/>
  <c r="M178" i="1" s="1"/>
  <c r="G180" i="1"/>
  <c r="G179" i="1"/>
  <c r="G178" i="1"/>
  <c r="F180" i="1"/>
  <c r="F179" i="1"/>
  <c r="F178" i="1"/>
  <c r="E180" i="1"/>
  <c r="E179" i="1"/>
  <c r="E178" i="1"/>
  <c r="M179" i="1"/>
  <c r="M180" i="1"/>
  <c r="L180" i="1"/>
  <c r="L178" i="1"/>
  <c r="N170" i="1"/>
  <c r="N169" i="1"/>
  <c r="N168" i="1"/>
  <c r="M169" i="1"/>
  <c r="M170" i="1"/>
  <c r="M168" i="1"/>
  <c r="J176" i="1"/>
  <c r="J177" i="1"/>
  <c r="J175" i="1"/>
  <c r="K167" i="1"/>
  <c r="K166" i="1"/>
  <c r="K165" i="1"/>
  <c r="D180" i="1"/>
  <c r="D179" i="1"/>
  <c r="D178" i="1"/>
  <c r="C180" i="1"/>
  <c r="C179" i="1"/>
  <c r="C178" i="1"/>
  <c r="K180" i="1"/>
  <c r="L170" i="1"/>
  <c r="L169" i="1"/>
  <c r="L168" i="1"/>
  <c r="B180" i="1"/>
  <c r="B179" i="1"/>
  <c r="B178" i="1"/>
  <c r="I180" i="1"/>
  <c r="I179" i="1"/>
  <c r="I178" i="1"/>
  <c r="J170" i="1"/>
  <c r="I170" i="1"/>
  <c r="H170" i="1"/>
  <c r="G170" i="1"/>
  <c r="F170" i="1"/>
  <c r="E170" i="1"/>
  <c r="J169" i="1"/>
  <c r="I169" i="1"/>
  <c r="H169" i="1"/>
  <c r="G169" i="1"/>
  <c r="F169" i="1"/>
  <c r="E169" i="1"/>
  <c r="J168" i="1"/>
  <c r="I168" i="1"/>
  <c r="H168" i="1"/>
  <c r="G168" i="1"/>
  <c r="F168" i="1"/>
  <c r="E168" i="1"/>
  <c r="K178" i="1" l="1"/>
  <c r="L179" i="1"/>
  <c r="K179" i="1"/>
  <c r="D170" i="1"/>
  <c r="D169" i="1"/>
  <c r="D168" i="1"/>
  <c r="C170" i="1"/>
  <c r="B170" i="1"/>
  <c r="C169" i="1"/>
  <c r="B169" i="1"/>
  <c r="C168" i="1"/>
  <c r="B168" i="1"/>
  <c r="C161" i="1"/>
  <c r="C160" i="1"/>
  <c r="C159" i="1"/>
  <c r="B161" i="1"/>
  <c r="B160" i="1"/>
  <c r="B159" i="1"/>
  <c r="J161" i="1"/>
  <c r="J160" i="1"/>
  <c r="J159" i="1"/>
  <c r="I161" i="1"/>
  <c r="I160" i="1"/>
  <c r="I159" i="1"/>
  <c r="H161" i="1"/>
  <c r="H160" i="1"/>
  <c r="H159" i="1"/>
  <c r="G161" i="1"/>
  <c r="G160" i="1"/>
  <c r="G159" i="1"/>
  <c r="F161" i="1"/>
  <c r="F160" i="1"/>
  <c r="F159" i="1"/>
  <c r="E161" i="1"/>
  <c r="E160" i="1"/>
  <c r="E159" i="1"/>
  <c r="D161" i="1"/>
  <c r="D160" i="1"/>
  <c r="D159" i="1"/>
  <c r="N151" i="1"/>
  <c r="N150" i="1"/>
  <c r="N149" i="1"/>
  <c r="L151" i="1"/>
  <c r="L150" i="1"/>
  <c r="L149" i="1"/>
  <c r="K151" i="1"/>
  <c r="K150" i="1"/>
  <c r="K149" i="1"/>
  <c r="J151" i="1"/>
  <c r="J150" i="1"/>
  <c r="J149" i="1"/>
  <c r="I151" i="1"/>
  <c r="I150" i="1"/>
  <c r="I149" i="1"/>
  <c r="H151" i="1"/>
  <c r="H150" i="1"/>
  <c r="H149" i="1"/>
  <c r="G151" i="1"/>
  <c r="G150" i="1"/>
  <c r="G149" i="1"/>
  <c r="F151" i="1"/>
  <c r="F150" i="1"/>
  <c r="F149" i="1"/>
  <c r="E151" i="1"/>
  <c r="E150" i="1"/>
  <c r="E149" i="1"/>
  <c r="D151" i="1"/>
  <c r="D150" i="1"/>
  <c r="D149" i="1"/>
  <c r="C150" i="1" l="1"/>
  <c r="C151" i="1"/>
  <c r="C149" i="1"/>
  <c r="B151" i="1"/>
  <c r="B150" i="1"/>
  <c r="B149" i="1"/>
  <c r="C138" i="1"/>
  <c r="D138" i="1"/>
  <c r="E138" i="1"/>
  <c r="F138" i="1"/>
  <c r="G138" i="1"/>
  <c r="H138" i="1"/>
  <c r="I138" i="1"/>
  <c r="J138" i="1"/>
  <c r="K138" i="1"/>
  <c r="B138" i="1"/>
  <c r="O73" i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<sst xmlns="http://schemas.openxmlformats.org/spreadsheetml/2006/main" count="336" uniqueCount="130">
  <si>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</si>
  <si>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</si>
  <si>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</si>
  <si>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</si>
  <si>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</si>
  <si>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</si>
  <si>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</si>
  <si>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</si>
  <si>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</si>
  <si>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</si>
  <si>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</si>
  <si>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</si>
  <si>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</si>
  <si>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</si>
  <si>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</si>
  <si>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</si>
  <si>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</si>
  <si>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</si>
  <si>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</si>
  <si>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</si>
  <si>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</si>
  <si>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</si>
  <si>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</si>
  <si>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</si>
  <si>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</si>
  <si>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</si>
  <si>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</si>
  <si>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</si>
  <si>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</si>
  <si>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</si>
  <si>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</si>
  <si>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</si>
  <si>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</si>
  <si>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</si>
  <si>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</si>
  <si>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</si>
  <si>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</si>
  <si>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</si>
  <si>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</si>
  <si>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</si>
  <si>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</si>
  <si>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</si>
  <si>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</si>
  <si>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</si>
  <si>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</si>
  <si>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</si>
  <si>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</si>
  <si>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</si>
  <si>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</si>
  <si>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</si>
  <si>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</si>
  <si>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</si>
  <si>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</si>
  <si>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</si>
  <si>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</si>
  <si>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</si>
  <si>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</si>
  <si>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</si>
  <si>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</si>
  <si>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</si>
  <si>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</si>
  <si>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</si>
  <si>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</si>
  <si>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</si>
  <si>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</si>
  <si>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</si>
  <si>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</si>
  <si>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</si>
  <si>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</si>
  <si>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</si>
  <si>
    <t>occupancy data 7 days</t>
  </si>
  <si>
    <t>cost + emissions + cals</t>
  </si>
  <si>
    <t>relaxed constraints</t>
  </si>
  <si>
    <t>30 s</t>
  </si>
  <si>
    <t>cost + emissions*10 + cals * 1000</t>
  </si>
  <si>
    <t xml:space="preserve">cost + emissions + cals * 100 </t>
  </si>
  <si>
    <t>cost*10 + emissions + cals*100</t>
  </si>
  <si>
    <t>cost*10 + emissions + cals*1000</t>
  </si>
  <si>
    <t>sum(nutritionServed)</t>
  </si>
  <si>
    <t>cost + emissions + sum(nutrition)</t>
  </si>
  <si>
    <t>scaled avg</t>
  </si>
  <si>
    <t>13th Jun</t>
  </si>
  <si>
    <t>15th Jun</t>
  </si>
  <si>
    <t>Batch size</t>
  </si>
  <si>
    <t>10 min</t>
  </si>
  <si>
    <t>food waste sum nutrients</t>
  </si>
  <si>
    <t>max num people</t>
  </si>
  <si>
    <t>days x people</t>
  </si>
  <si>
    <t>imporved over time</t>
  </si>
  <si>
    <t>yes</t>
  </si>
  <si>
    <t>cost/(days x people)</t>
  </si>
  <si>
    <t>emissions /(days x people)</t>
  </si>
  <si>
    <t>food waste /(days x people)</t>
  </si>
  <si>
    <t>satisfiability time</t>
  </si>
  <si>
    <t>12 s</t>
  </si>
  <si>
    <t>6 s</t>
  </si>
  <si>
    <t xml:space="preserve">8 s </t>
  </si>
  <si>
    <t>1 m 15 s</t>
  </si>
  <si>
    <t>no</t>
  </si>
  <si>
    <t>1m</t>
  </si>
  <si>
    <t>18 s</t>
  </si>
  <si>
    <t>20 s</t>
  </si>
  <si>
    <t>3m 56s</t>
  </si>
  <si>
    <t>27s</t>
  </si>
  <si>
    <t>16th Jun</t>
  </si>
  <si>
    <t>5 min</t>
  </si>
  <si>
    <t>Matrix size</t>
  </si>
  <si>
    <t>test runs</t>
  </si>
  <si>
    <t>actual batch</t>
  </si>
  <si>
    <t>no beef or lamb</t>
  </si>
  <si>
    <t>batch</t>
  </si>
  <si>
    <t>total for 370 days</t>
  </si>
  <si>
    <t>winter</t>
  </si>
  <si>
    <t>year average</t>
  </si>
  <si>
    <t>winter average</t>
  </si>
  <si>
    <t>summer average</t>
  </si>
  <si>
    <t>excess food</t>
  </si>
  <si>
    <t>emissions / CO2e</t>
  </si>
  <si>
    <t>scaled sum</t>
  </si>
  <si>
    <t>sum</t>
  </si>
  <si>
    <t>improved over time</t>
  </si>
  <si>
    <t>packaging</t>
  </si>
  <si>
    <t>cost + emissions + excess food + packaging + variety lack</t>
  </si>
  <si>
    <t>cost + emissions + excess food</t>
  </si>
  <si>
    <t>batch 1, 2m</t>
  </si>
  <si>
    <t>packaging / g per person per day</t>
  </si>
  <si>
    <t>emissions / kg CO2e per person per day</t>
  </si>
  <si>
    <t>cost / £ per person per day</t>
  </si>
  <si>
    <t>excess food / cal per person per day</t>
  </si>
  <si>
    <t>no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</si>
</sst>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sum of all objectives from different objective function</a:t>
            </a:r>
            <a:r>
              <a:rPr lang="en-US" baseline="0"/>
              <a:t> expressions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scaled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Sheet1!$B$132:$K$132</c:f>
              <c:strCache>
                <c:ptCount val="10"/>
                <c:pt idx="0">
                  <c:v>cost + emissions + cals</c:v>
                </c:pt>
                <c:pt idx="1">
                  <c:v>emissions</c:v>
                </c:pt>
                <c:pt idx="2">
                  <c:v>cals</c:v>
                </c:pt>
                <c:pt idx="3">
                  <c:v>cost</c:v>
                </c:pt>
                <c:pt idx="4">
                  <c:v>cost + emissions + cals * 100 </c:v>
                </c:pt>
                <c:pt idx="5">
                  <c:v>cost + emissions*10 + cals * 1000</c:v>
                </c:pt>
                <c:pt idx="6">
                  <c:v>cost*10 + emissions + cals*100</c:v>
                </c:pt>
                <c:pt idx="7">
                  <c:v>cost*10 + emissions + cals*1000</c:v>
                </c:pt>
                <c:pt idx="8">
                  <c:v>sum(nutritionServed)</c:v>
                </c:pt>
                <c:pt idx="9">
                  <c:v>cost + emissions + sum(nutrition)</c:v>
                </c:pt>
              </c:strCache>
            </c:strRef>
          </c:cat>
          <c:val>
            <c:numRef>
              <c:f>Sheet1!$B$134:$K$134</c:f>
              <c:numCache>
                <c:formatCode>General</c:formatCode>
                <c:ptCount val="10"/>
                <c:pt idx="0">
                  <c:v>4491.1900000000005</c:v>
                </c:pt>
                <c:pt idx="1">
                  <c:v>5468.2978723404258</c:v>
                </c:pt>
                <c:pt idx="2">
                  <c:v>5161.3191489361707</c:v>
                </c:pt>
                <c:pt idx="3">
                  <c:v>5476.9361702127662</c:v>
                </c:pt>
                <c:pt idx="4">
                  <c:v>5490.510638297872</c:v>
                </c:pt>
                <c:pt idx="5">
                  <c:v>5296.3404255319147</c:v>
                </c:pt>
                <c:pt idx="6">
                  <c:v>5490.510638297872</c:v>
                </c:pt>
                <c:pt idx="7">
                  <c:v>5313.9787234042551</c:v>
                </c:pt>
                <c:pt idx="8">
                  <c:v>5500.5531914893618</c:v>
                </c:pt>
                <c:pt idx="9">
                  <c:v>5490.6808510638293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0-471A-96B5-11000994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95088"/>
        <c:axId val="551598832"/>
      </c:barChart>
      <c:catAx>
        <c:axId val="5515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Objective</a:t>
                </a:r>
                <a:r>
                  <a:rPr lang="en-GB" baseline="0"/>
                  <a:t> function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8119313210848649"/>
              <c:y val="0.917419389458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8832"/>
        <c:crosses val="autoZero"/>
        <c:auto val="1"/>
        <c:lblAlgn val="ctr"/>
        <c:lblOffset val="100"/>
        <c:noMultiLvlLbl val="0"/>
      </c:catAx>
      <c:valAx>
        <c:axId val="5515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Scaled</a:t>
                </a:r>
                <a:r>
                  <a:rPr lang="en-GB" baseline="0"/>
                  <a:t> sum of all objective values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14474928287852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Sheet1!$Q$147:$Q$149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Sheet1!$R$147:$R$149</c:f>
              <c:numCache>
                <c:formatCode>General</c:formatCode>
                <c:ptCount val="3"/>
                <c:pt idx="0">
                  <c:v>1768</c:v>
                </c:pt>
                <c:pt idx="1">
                  <c:v>1837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503-8DD9-E070464E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53424"/>
        <c:axId val="940247184"/>
      </c:barChart>
      <c:catAx>
        <c:axId val="940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7184"/>
        <c:crosses val="autoZero"/>
        <c:auto val="1"/>
        <c:lblAlgn val="ctr"/>
        <c:lblOffset val="100"/>
        <c:noMultiLvlLbl val="0"/>
      </c:catAx>
      <c:valAx>
        <c:axId val="940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Sheet1!$T$146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Sheet1!$S$147:$S$149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Sheet1!$T$147:$T$149</c:f>
              <c:numCache>
                <c:formatCode>General</c:formatCode>
                <c:ptCount val="3"/>
                <c:pt idx="0">
                  <c:v>1790</c:v>
                </c:pt>
                <c:pt idx="1">
                  <c:v>1913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A7A-AD0F-8CF38EC1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8960"/>
        <c:axId val="935029376"/>
      </c:barChart>
      <c:catAx>
        <c:axId val="9350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9376"/>
        <c:crosses val="autoZero"/>
        <c:auto val="1"/>
        <c:lblAlgn val="ctr"/>
        <c:lblOffset val="100"/>
        <c:noMultiLvlLbl val="0"/>
      </c:catAx>
      <c:valAx>
        <c:axId val="935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Sheet1!$V$146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Sheet1!$U$147:$U$149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Sheet1!$V$147:$V$149</c:f>
              <c:numCache>
                <c:formatCode>General</c:formatCode>
                <c:ptCount val="3"/>
                <c:pt idx="0">
                  <c:v>1766</c:v>
                </c:pt>
                <c:pt idx="1">
                  <c:v>1863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20D-8D02-C5F56B84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882848"/>
        <c:axId val="1067881184"/>
      </c:barChart>
      <c:catAx>
        <c:axId val="1067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1184"/>
        <c:crosses val="autoZero"/>
        <c:auto val="1"/>
        <c:lblAlgn val="ctr"/>
        <c:lblOffset val="100"/>
        <c:noMultiLvlLbl val="0"/>
      </c:catAx>
      <c:valAx>
        <c:axId val="106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Objective</a:t>
            </a:r>
            <a:r>
              <a:rPr lang="en-GB" baseline="0"/>
              <a:t> values p</a:t>
            </a:r>
            <a:r>
              <a:rPr lang="en-GB"/>
              <a:t>er person, per day of different sized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Sheet1!$AA$158</c:f>
              <c:strCache>
                <c:ptCount val="1"/>
                <c:pt idx="0">
                  <c:v>cost / £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Sheet1!$AB$157:$AJ$157</c:f>
              <c:numCache>
                <c:formatCode>General</c:formatCode>
                <c:ptCount val="9"/>
                <c:pt idx="0">
                  <c:v>104</c:v>
                </c:pt>
                <c:pt idx="1">
                  <c:v>204</c:v>
                </c:pt>
                <c:pt idx="2">
                  <c:v>511</c:v>
                </c:pt>
                <c:pt idx="3">
                  <c:v>1037</c:v>
                </c:pt>
                <c:pt idx="4">
                  <c:v>1568</c:v>
                </c:pt>
                <c:pt idx="5">
                  <c:v>2149</c:v>
                </c:pt>
                <c:pt idx="6">
                  <c:v>2657</c:v>
                </c:pt>
                <c:pt idx="7">
                  <c:v>3075</c:v>
                </c:pt>
                <c:pt idx="8">
                  <c:v>3505</c:v>
                </c:pt>
              </c:numCache>
            </c:numRef>
          </c:xVal>
          <c:yVal>
            <c:numRef>
              <c:f>Sheet1!$AB$158:$AJ$158</c:f>
              <c:numCache>
                <c:formatCode>General</c:formatCode>
                <c:ptCount val="9"/>
                <c:pt idx="0">
                  <c:v>8.1826923076923084</c:v>
                </c:pt>
                <c:pt idx="1">
                  <c:v>8.9264705882352935</c:v>
                </c:pt>
                <c:pt idx="2">
                  <c:v>9.0352250489236798</c:v>
                </c:pt>
                <c:pt idx="3">
                  <c:v>8.721311475409836</c:v>
                </c:pt>
                <c:pt idx="4">
                  <c:v>8.9974489795918373</c:v>
                </c:pt>
                <c:pt idx="5">
                  <c:v>8.8371335504886002</c:v>
                </c:pt>
                <c:pt idx="6">
                  <c:v>8.8656379375235232</c:v>
                </c:pt>
                <c:pt idx="7">
                  <c:v>9.0715447154471551</c:v>
                </c:pt>
                <c:pt idx="8">
                  <c:v>8.9495007132667617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D-43C6-8376-0B3A5AE75B29}"/>
            </c:ext>
          </c:extLst>
        </c:ser>
        <c:ser>
          <c:idx val="1"/>
          <c:order val="1"/>
          <c:tx>
            <c:strRef>
              <c:f>Sheet1!$AA$159</c:f>
              <c:strCache>
                <c:ptCount val="1"/>
                <c:pt idx="0">
                  <c:v>emissions / CO2e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Sheet1!$AB$157:$AJ$157</c:f>
              <c:numCache>
                <c:formatCode>General</c:formatCode>
                <c:ptCount val="9"/>
                <c:pt idx="0">
                  <c:v>104</c:v>
                </c:pt>
                <c:pt idx="1">
                  <c:v>204</c:v>
                </c:pt>
                <c:pt idx="2">
                  <c:v>511</c:v>
                </c:pt>
                <c:pt idx="3">
                  <c:v>1037</c:v>
                </c:pt>
                <c:pt idx="4">
                  <c:v>1568</c:v>
                </c:pt>
                <c:pt idx="5">
                  <c:v>2149</c:v>
                </c:pt>
                <c:pt idx="6">
                  <c:v>2657</c:v>
                </c:pt>
                <c:pt idx="7">
                  <c:v>3075</c:v>
                </c:pt>
                <c:pt idx="8">
                  <c:v>3505</c:v>
                </c:pt>
              </c:numCache>
            </c:numRef>
          </c:xVal>
          <c:yVal>
            <c:numRef>
              <c:f>Sheet1!$AB$159:$AJ$159</c:f>
              <c:numCache>
                <c:formatCode>General</c:formatCode>
                <c:ptCount val="9"/>
                <c:pt idx="0">
                  <c:v>8.3173076923076916</c:v>
                </c:pt>
                <c:pt idx="1">
                  <c:v>8.0686274509803919</c:v>
                </c:pt>
                <c:pt idx="2">
                  <c:v>8.7162426614481401</c:v>
                </c:pt>
                <c:pt idx="3">
                  <c:v>8.3259402121504333</c:v>
                </c:pt>
                <c:pt idx="4">
                  <c:v>7.7882653061224492</c:v>
                </c:pt>
                <c:pt idx="5">
                  <c:v>8.274546300604932</c:v>
                </c:pt>
                <c:pt idx="6">
                  <c:v>8.0726383138878433</c:v>
                </c:pt>
                <c:pt idx="7">
                  <c:v>8.3915447154471536</c:v>
                </c:pt>
                <c:pt idx="8">
                  <c:v>8.2550641940085594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D-43C6-8376-0B3A5AE75B29}"/>
            </c:ext>
          </c:extLst>
        </c:ser>
        <c:ser>
          <c:idx val="2"/>
          <c:order val="2"/>
          <c:tx>
            <c:strRef>
              <c:f>Sheet1!$AA$160</c:f>
              <c:strCache>
                <c:ptCount val="1"/>
                <c:pt idx="0">
                  <c:v>excess food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Sheet1!$AB$157:$AJ$157</c:f>
              <c:numCache>
                <c:formatCode>General</c:formatCode>
                <c:ptCount val="9"/>
                <c:pt idx="0">
                  <c:v>104</c:v>
                </c:pt>
                <c:pt idx="1">
                  <c:v>204</c:v>
                </c:pt>
                <c:pt idx="2">
                  <c:v>511</c:v>
                </c:pt>
                <c:pt idx="3">
                  <c:v>1037</c:v>
                </c:pt>
                <c:pt idx="4">
                  <c:v>1568</c:v>
                </c:pt>
                <c:pt idx="5">
                  <c:v>2149</c:v>
                </c:pt>
                <c:pt idx="6">
                  <c:v>2657</c:v>
                </c:pt>
                <c:pt idx="7">
                  <c:v>3075</c:v>
                </c:pt>
                <c:pt idx="8">
                  <c:v>3505</c:v>
                </c:pt>
              </c:numCache>
            </c:numRef>
          </c:xVal>
          <c:yVal>
            <c:numRef>
              <c:f>Sheet1!$AB$160:$AJ$160</c:f>
              <c:numCache>
                <c:formatCode>General</c:formatCode>
                <c:ptCount val="9"/>
                <c:pt idx="0">
                  <c:v>5.639326923076923</c:v>
                </c:pt>
                <c:pt idx="1">
                  <c:v>3.8981862745098037</c:v>
                </c:pt>
                <c:pt idx="2">
                  <c:v>3.5627592954990219</c:v>
                </c:pt>
                <c:pt idx="3">
                  <c:v>3.8719382835101253</c:v>
                </c:pt>
                <c:pt idx="4">
                  <c:v>3.9364221938775512</c:v>
                </c:pt>
                <c:pt idx="5">
                  <c:v>3.5536063285248951</c:v>
                </c:pt>
                <c:pt idx="6">
                  <c:v>4.1586036883703423</c:v>
                </c:pt>
                <c:pt idx="7">
                  <c:v>3.3792390243902442</c:v>
                </c:pt>
                <c:pt idx="8">
                  <c:v>4.2520485021398002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D-43C6-8376-0B3A5AE7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41296"/>
        <c:axId val="551443376"/>
      </c:scatterChart>
      <c:valAx>
        <c:axId val="5514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r>
                  <a:rPr lang="en-GB" baseline="0"/>
                  <a:t> matrix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43376"/>
        <c:crosses val="autoZero"/>
        <c:crossBetween val="midCat"/>
      </c:valAx>
      <c:valAx>
        <c:axId val="5514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46383</xdr:colOff>
      <xdr:row>132</xdr:row>
      <xdr:rowOff>152401</xdr:rowOff>
    </xdr:from>
    <xdr:to>
      <xdr:col>24</xdr:col>
      <xdr:colOff>351183</xdr:colOff>
      <xdr:row>147</xdr:row>
      <xdr:rowOff>112644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F912F-C1E0-BE13-1EAE-4F867624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364436</xdr:colOff>
      <xdr:row>132</xdr:row>
      <xdr:rowOff>159026</xdr:rowOff>
    </xdr:from>
    <xdr:to>
      <xdr:col>32</xdr:col>
      <xdr:colOff>59636</xdr:colOff>
      <xdr:row>147</xdr:row>
      <xdr:rowOff>119269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80E6F-799C-3DC8-8DDC-756416D1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119271</xdr:colOff>
      <xdr:row>148</xdr:row>
      <xdr:rowOff>26504</xdr:rowOff>
    </xdr:from>
    <xdr:to>
      <xdr:col>30</xdr:col>
      <xdr:colOff>424071</xdr:colOff>
      <xdr:row>162</xdr:row>
      <xdr:rowOff>172278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4FAB2-A087-359F-81AF-8A7EB92D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496956</xdr:colOff>
      <xdr:row>148</xdr:row>
      <xdr:rowOff>53008</xdr:rowOff>
    </xdr:from>
    <xdr:to>
      <xdr:col>38</xdr:col>
      <xdr:colOff>192156</xdr:colOff>
      <xdr:row>163</xdr:row>
      <xdr:rowOff>13251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012DC6-98B5-9F27-866D-634DDF16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99392</xdr:colOff>
      <xdr:row>117</xdr:row>
      <xdr:rowOff>172278</xdr:rowOff>
    </xdr:from>
    <xdr:to>
      <xdr:col>20</xdr:col>
      <xdr:colOff>324679</xdr:colOff>
      <xdr:row>138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28DD3FE-ACBD-555F-EE9A-EB5034EF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AJ191"/>
  <sheetViews>
    <sheetView tabSelected="1" topLeftCell="A151" zoomScale="115" zoomScaleNormal="115" workbookViewId="0">
      <selection activeCell="I189" sqref="I189"/>
    </sheetView>
  </sheetViews>
  <sheetFormatPr defaultRowHeight="14.4" x14ac:dyDescent="0.3"/>
  <cols>
    <col min="1" max="1" width="23.33203125" customWidth="1"/>
    <col min="3" max="9" width="10.44140625" bestFit="1" customWidth="1"/>
    <col min="12" max="12" width="11.77734375" customWidth="1"/>
    <col min="13" max="13" width="11.6640625" customWidth="1"/>
    <col min="14" max="14" width="10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69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15" x14ac:dyDescent="0.3">
      <c r="A129">
        <v>19</v>
      </c>
      <c r="B129" t="s">
        <v>69</v>
      </c>
    </row>
    <row r="130" spans="1:15" x14ac:dyDescent="0.3">
      <c r="D130" s="1" t="s">
        <v>81</v>
      </c>
    </row>
    <row r="131" spans="1:15" x14ac:dyDescent="0.3">
      <c r="A131" t="s">
        <v>73</v>
      </c>
      <c r="B131" t="s">
        <v>70</v>
      </c>
      <c r="D131" t="s">
        <v>72</v>
      </c>
    </row>
    <row r="132" spans="1:15" x14ac:dyDescent="0.3">
      <c r="A132" t="s">
        <v>25</v>
      </c>
      <c r="B132" t="s">
        <v>71</v>
      </c>
      <c r="C132" t="s">
        <v>27</v>
      </c>
      <c r="D132" t="s">
        <v>0</v>
      </c>
      <c r="E132" t="s">
        <v>26</v>
      </c>
      <c r="F132" t="s">
        <v>75</v>
      </c>
      <c r="G132" t="s">
        <v>74</v>
      </c>
      <c r="H132" t="s">
        <v>76</v>
      </c>
      <c r="I132" t="s">
        <v>77</v>
      </c>
      <c r="J132" t="s">
        <v>78</v>
      </c>
      <c r="K132" t="s">
        <v>79</v>
      </c>
    </row>
    <row r="133" spans="1:15" x14ac:dyDescent="0.3">
      <c r="A133" t="s">
        <v>119</v>
      </c>
      <c r="B133">
        <f t="shared" ref="B133:K133" si="4">SUM(B135:B137)</f>
        <v>92224</v>
      </c>
      <c r="C133">
        <f t="shared" si="4"/>
        <v>91180</v>
      </c>
      <c r="D133">
        <f t="shared" si="4"/>
        <v>73256</v>
      </c>
      <c r="E133">
        <f t="shared" si="4"/>
        <v>90390</v>
      </c>
      <c r="F133">
        <f t="shared" si="4"/>
        <v>92224</v>
      </c>
      <c r="G133">
        <f t="shared" si="4"/>
        <v>81672</v>
      </c>
      <c r="H133">
        <f t="shared" si="4"/>
        <v>92224</v>
      </c>
      <c r="I133">
        <f t="shared" si="4"/>
        <v>81397</v>
      </c>
      <c r="J133">
        <f t="shared" si="4"/>
        <v>91270</v>
      </c>
      <c r="K133">
        <f t="shared" si="4"/>
        <v>92094</v>
      </c>
    </row>
    <row r="134" spans="1:15" x14ac:dyDescent="0.3">
      <c r="A134" t="s">
        <v>118</v>
      </c>
      <c r="B134">
        <f>B135+B136+(B137/100)</f>
        <v>4491.1900000000005</v>
      </c>
      <c r="C134">
        <f t="shared" ref="C134:K134" si="5">C135+C136+(C137/47)</f>
        <v>5468.2978723404258</v>
      </c>
      <c r="D134">
        <f t="shared" si="5"/>
        <v>5161.3191489361707</v>
      </c>
      <c r="E134">
        <f t="shared" si="5"/>
        <v>5476.9361702127662</v>
      </c>
      <c r="F134">
        <f t="shared" si="5"/>
        <v>5490.510638297872</v>
      </c>
      <c r="G134">
        <f t="shared" si="5"/>
        <v>5296.3404255319147</v>
      </c>
      <c r="H134">
        <f t="shared" si="5"/>
        <v>5490.510638297872</v>
      </c>
      <c r="I134">
        <f t="shared" si="5"/>
        <v>5313.9787234042551</v>
      </c>
      <c r="J134">
        <f t="shared" si="5"/>
        <v>5500.5531914893618</v>
      </c>
      <c r="K134">
        <f t="shared" si="5"/>
        <v>5490.6808510638293</v>
      </c>
    </row>
    <row r="135" spans="1:15" x14ac:dyDescent="0.3">
      <c r="A135" t="s">
        <v>50</v>
      </c>
      <c r="B135">
        <v>1768</v>
      </c>
      <c r="C135">
        <v>1768</v>
      </c>
      <c r="D135">
        <v>1768</v>
      </c>
      <c r="E135">
        <v>1768</v>
      </c>
      <c r="F135">
        <v>1768</v>
      </c>
      <c r="G135">
        <v>1768</v>
      </c>
      <c r="H135">
        <v>1768</v>
      </c>
      <c r="I135">
        <v>1768</v>
      </c>
      <c r="J135">
        <v>1768</v>
      </c>
      <c r="K135">
        <v>1768</v>
      </c>
    </row>
    <row r="136" spans="1:15" x14ac:dyDescent="0.3">
      <c r="A136" t="s">
        <v>51</v>
      </c>
      <c r="B136">
        <v>1837</v>
      </c>
      <c r="C136">
        <v>1837</v>
      </c>
      <c r="D136">
        <v>1913</v>
      </c>
      <c r="E136">
        <v>1863</v>
      </c>
      <c r="F136">
        <v>1837</v>
      </c>
      <c r="G136">
        <v>1868</v>
      </c>
      <c r="H136">
        <v>1837</v>
      </c>
      <c r="I136">
        <v>1892</v>
      </c>
      <c r="J136">
        <v>1868</v>
      </c>
      <c r="K136">
        <v>1840</v>
      </c>
    </row>
    <row r="137" spans="1:15" x14ac:dyDescent="0.3">
      <c r="A137" t="s">
        <v>52</v>
      </c>
      <c r="B137">
        <v>88619</v>
      </c>
      <c r="C137">
        <v>87575</v>
      </c>
      <c r="D137">
        <v>69575</v>
      </c>
      <c r="E137">
        <v>86759</v>
      </c>
      <c r="F137">
        <v>88619</v>
      </c>
      <c r="G137">
        <v>78036</v>
      </c>
      <c r="H137">
        <v>88619</v>
      </c>
      <c r="I137">
        <v>77737</v>
      </c>
      <c r="J137">
        <v>87634</v>
      </c>
      <c r="K137">
        <v>88486</v>
      </c>
    </row>
    <row r="138" spans="1:15" x14ac:dyDescent="0.3">
      <c r="A138" t="s">
        <v>80</v>
      </c>
      <c r="B138">
        <f>AVERAGE(B137/47, B136, B135)</f>
        <v>1830.1702127659573</v>
      </c>
      <c r="C138">
        <f t="shared" ref="C138:K138" si="6">AVERAGE(C137/47, C136, C135)</f>
        <v>1822.7659574468087</v>
      </c>
      <c r="D138">
        <f t="shared" si="6"/>
        <v>1720.4397163120568</v>
      </c>
      <c r="E138">
        <f t="shared" si="6"/>
        <v>1825.6453900709221</v>
      </c>
      <c r="F138">
        <f t="shared" si="6"/>
        <v>1830.1702127659573</v>
      </c>
      <c r="G138">
        <f t="shared" si="6"/>
        <v>1765.4468085106382</v>
      </c>
      <c r="H138">
        <f t="shared" si="6"/>
        <v>1830.1702127659573</v>
      </c>
      <c r="I138">
        <f t="shared" si="6"/>
        <v>1771.3262411347516</v>
      </c>
      <c r="J138">
        <f t="shared" si="6"/>
        <v>1833.5177304964539</v>
      </c>
      <c r="K138">
        <f t="shared" si="6"/>
        <v>1830.2269503546097</v>
      </c>
    </row>
    <row r="140" spans="1:15" x14ac:dyDescent="0.3">
      <c r="A140" t="s">
        <v>25</v>
      </c>
      <c r="B140" t="s">
        <v>82</v>
      </c>
      <c r="C140" t="s">
        <v>84</v>
      </c>
    </row>
    <row r="141" spans="1:15" x14ac:dyDescent="0.3">
      <c r="A141" t="s">
        <v>83</v>
      </c>
      <c r="B141" s="7">
        <v>7</v>
      </c>
      <c r="C141" s="7">
        <v>8</v>
      </c>
      <c r="D141" s="7">
        <v>9</v>
      </c>
      <c r="E141" s="7">
        <v>10</v>
      </c>
      <c r="F141" s="7">
        <v>12</v>
      </c>
      <c r="G141" s="7">
        <v>15</v>
      </c>
      <c r="H141" s="7">
        <v>21</v>
      </c>
      <c r="I141" s="8">
        <v>25</v>
      </c>
      <c r="J141" s="8">
        <v>28</v>
      </c>
      <c r="K141" s="7">
        <v>30</v>
      </c>
      <c r="L141" s="7">
        <v>35</v>
      </c>
      <c r="M141" s="7">
        <v>40</v>
      </c>
      <c r="N141" s="7">
        <v>42</v>
      </c>
      <c r="O141" t="s">
        <v>83</v>
      </c>
    </row>
    <row r="142" spans="1:15" x14ac:dyDescent="0.3">
      <c r="A142" t="s">
        <v>86</v>
      </c>
      <c r="B142" s="7">
        <v>30</v>
      </c>
      <c r="C142" s="7">
        <v>32</v>
      </c>
      <c r="D142" s="7">
        <v>46</v>
      </c>
      <c r="E142" s="7">
        <v>59</v>
      </c>
      <c r="F142" s="7">
        <v>93</v>
      </c>
      <c r="G142" s="7">
        <v>125</v>
      </c>
      <c r="H142" s="7">
        <v>154</v>
      </c>
      <c r="I142" s="8">
        <v>165</v>
      </c>
      <c r="J142" s="8">
        <v>167</v>
      </c>
      <c r="K142" s="7">
        <v>163</v>
      </c>
      <c r="L142" s="7">
        <v>89</v>
      </c>
      <c r="M142" s="7">
        <v>91</v>
      </c>
      <c r="N142" s="7">
        <v>25</v>
      </c>
      <c r="O142" t="s">
        <v>86</v>
      </c>
    </row>
    <row r="143" spans="1:15" x14ac:dyDescent="0.3">
      <c r="A143" t="s">
        <v>87</v>
      </c>
      <c r="B143" s="7">
        <v>210</v>
      </c>
      <c r="C143" s="7">
        <v>256</v>
      </c>
      <c r="D143" s="7">
        <v>414</v>
      </c>
      <c r="E143" s="7">
        <v>590</v>
      </c>
      <c r="F143" s="7">
        <v>1116</v>
      </c>
      <c r="G143" s="7">
        <v>1875</v>
      </c>
      <c r="H143" s="7">
        <v>3234</v>
      </c>
      <c r="I143" s="8">
        <v>4125</v>
      </c>
      <c r="J143" s="8">
        <v>4676</v>
      </c>
      <c r="K143" s="7">
        <v>4890</v>
      </c>
      <c r="L143" s="7">
        <v>3115</v>
      </c>
      <c r="M143" s="7">
        <v>3640</v>
      </c>
      <c r="N143" s="7">
        <v>1050</v>
      </c>
      <c r="O143" t="s">
        <v>87</v>
      </c>
    </row>
    <row r="144" spans="1:15" x14ac:dyDescent="0.3">
      <c r="A144" t="s">
        <v>93</v>
      </c>
      <c r="B144" s="7" t="s">
        <v>94</v>
      </c>
      <c r="C144" s="7" t="s">
        <v>95</v>
      </c>
      <c r="D144" s="7" t="s">
        <v>95</v>
      </c>
      <c r="E144" s="7" t="s">
        <v>95</v>
      </c>
      <c r="F144" s="7" t="s">
        <v>96</v>
      </c>
      <c r="G144" s="7" t="s">
        <v>97</v>
      </c>
      <c r="H144" s="7" t="s">
        <v>94</v>
      </c>
      <c r="I144" s="8" t="s">
        <v>99</v>
      </c>
      <c r="J144" s="8" t="s">
        <v>100</v>
      </c>
      <c r="K144" s="7" t="s">
        <v>101</v>
      </c>
      <c r="L144" s="7" t="s">
        <v>102</v>
      </c>
      <c r="M144" s="7" t="s">
        <v>45</v>
      </c>
      <c r="N144" s="7" t="s">
        <v>103</v>
      </c>
      <c r="O144" t="s">
        <v>93</v>
      </c>
    </row>
    <row r="145" spans="1:36" x14ac:dyDescent="0.3">
      <c r="A145" t="s">
        <v>120</v>
      </c>
      <c r="B145" s="7" t="s">
        <v>89</v>
      </c>
      <c r="C145" s="7" t="s">
        <v>89</v>
      </c>
      <c r="D145" s="7" t="s">
        <v>89</v>
      </c>
      <c r="E145" s="7" t="s">
        <v>89</v>
      </c>
      <c r="F145" s="7" t="s">
        <v>89</v>
      </c>
      <c r="G145" s="7" t="s">
        <v>98</v>
      </c>
      <c r="H145" s="7" t="s">
        <v>98</v>
      </c>
      <c r="I145" s="8" t="s">
        <v>98</v>
      </c>
      <c r="J145" s="8" t="s">
        <v>89</v>
      </c>
      <c r="K145" s="7" t="s">
        <v>89</v>
      </c>
      <c r="L145" s="7" t="s">
        <v>89</v>
      </c>
      <c r="M145" s="7" t="s">
        <v>45</v>
      </c>
      <c r="N145" s="7" t="s">
        <v>98</v>
      </c>
      <c r="O145" t="s">
        <v>88</v>
      </c>
    </row>
    <row r="146" spans="1:36" x14ac:dyDescent="0.3">
      <c r="A146" t="s">
        <v>50</v>
      </c>
      <c r="B146" s="8">
        <v>1713</v>
      </c>
      <c r="C146" s="8">
        <v>1966</v>
      </c>
      <c r="D146" s="8">
        <v>3149</v>
      </c>
      <c r="E146" s="8">
        <v>3677</v>
      </c>
      <c r="F146">
        <v>6497</v>
      </c>
      <c r="G146">
        <v>13222</v>
      </c>
      <c r="H146">
        <v>23956</v>
      </c>
      <c r="I146">
        <v>35142</v>
      </c>
      <c r="J146">
        <v>39977</v>
      </c>
      <c r="K146">
        <v>33533</v>
      </c>
      <c r="L146">
        <v>26349</v>
      </c>
      <c r="M146" s="7" t="s">
        <v>45</v>
      </c>
      <c r="N146">
        <v>8953</v>
      </c>
      <c r="O146" t="s">
        <v>50</v>
      </c>
      <c r="R146" t="s">
        <v>27</v>
      </c>
      <c r="T146" t="s">
        <v>0</v>
      </c>
      <c r="V146" t="s">
        <v>26</v>
      </c>
    </row>
    <row r="147" spans="1:36" x14ac:dyDescent="0.3">
      <c r="A147" t="s">
        <v>51</v>
      </c>
      <c r="B147" s="8">
        <v>1632</v>
      </c>
      <c r="C147" s="8">
        <v>2031</v>
      </c>
      <c r="D147" s="8">
        <v>3068</v>
      </c>
      <c r="E147" s="8">
        <v>3322</v>
      </c>
      <c r="F147">
        <v>6027</v>
      </c>
      <c r="G147">
        <v>11915</v>
      </c>
      <c r="H147">
        <v>22637</v>
      </c>
      <c r="I147">
        <v>32098</v>
      </c>
      <c r="J147">
        <v>35670</v>
      </c>
      <c r="K147">
        <v>34496</v>
      </c>
      <c r="L147">
        <v>25271</v>
      </c>
      <c r="M147" s="7" t="s">
        <v>45</v>
      </c>
      <c r="N147">
        <v>9003</v>
      </c>
      <c r="O147" t="s">
        <v>51</v>
      </c>
      <c r="Q147" t="s">
        <v>50</v>
      </c>
      <c r="R147">
        <v>1768</v>
      </c>
      <c r="S147" t="s">
        <v>50</v>
      </c>
      <c r="T147">
        <v>1790</v>
      </c>
      <c r="U147" t="s">
        <v>50</v>
      </c>
      <c r="V147">
        <v>1766</v>
      </c>
    </row>
    <row r="148" spans="1:36" x14ac:dyDescent="0.3">
      <c r="A148" t="s">
        <v>85</v>
      </c>
      <c r="B148" s="8">
        <v>74168</v>
      </c>
      <c r="C148" s="8">
        <v>74014</v>
      </c>
      <c r="D148" s="8">
        <v>136986</v>
      </c>
      <c r="E148" s="8">
        <v>148030</v>
      </c>
      <c r="F148">
        <v>337583</v>
      </c>
      <c r="G148">
        <v>388942</v>
      </c>
      <c r="H148">
        <v>752213</v>
      </c>
      <c r="I148">
        <v>1107399</v>
      </c>
      <c r="J148">
        <v>922383</v>
      </c>
      <c r="K148">
        <v>1892849</v>
      </c>
      <c r="L148">
        <v>1129074</v>
      </c>
      <c r="M148" s="7" t="s">
        <v>45</v>
      </c>
      <c r="N148">
        <v>445200</v>
      </c>
      <c r="O148" t="s">
        <v>85</v>
      </c>
      <c r="Q148" t="s">
        <v>51</v>
      </c>
      <c r="R148">
        <v>1837</v>
      </c>
      <c r="S148" t="s">
        <v>51</v>
      </c>
      <c r="T148">
        <v>1913</v>
      </c>
      <c r="U148" t="s">
        <v>51</v>
      </c>
      <c r="V148">
        <v>1863</v>
      </c>
    </row>
    <row r="149" spans="1:36" x14ac:dyDescent="0.3">
      <c r="A149" t="s">
        <v>90</v>
      </c>
      <c r="B149" s="8">
        <f>1713/210</f>
        <v>8.1571428571428566</v>
      </c>
      <c r="C149" s="8">
        <f>1966/256</f>
        <v>7.6796875</v>
      </c>
      <c r="D149" s="8">
        <f>3149/414</f>
        <v>7.6062801932367146</v>
      </c>
      <c r="E149" s="8">
        <f>3677/590</f>
        <v>6.2322033898305085</v>
      </c>
      <c r="F149">
        <f>6497/1116</f>
        <v>5.8216845878136203</v>
      </c>
      <c r="G149">
        <f>13222/1875</f>
        <v>7.051733333333333</v>
      </c>
      <c r="H149">
        <f>23956/3234</f>
        <v>7.4075448361162648</v>
      </c>
      <c r="I149">
        <f>35142/4125</f>
        <v>8.5192727272727264</v>
      </c>
      <c r="J149">
        <f>39977/4676</f>
        <v>8.5494011976047908</v>
      </c>
      <c r="K149">
        <f>33533/4890</f>
        <v>6.8574642126789369</v>
      </c>
      <c r="L149">
        <f>26349/3115</f>
        <v>8.4587479935794541</v>
      </c>
      <c r="M149" s="7" t="s">
        <v>45</v>
      </c>
      <c r="N149">
        <f>8953/1050</f>
        <v>8.5266666666666673</v>
      </c>
      <c r="O149" t="s">
        <v>90</v>
      </c>
      <c r="Q149" t="s">
        <v>52</v>
      </c>
      <c r="R149">
        <v>875</v>
      </c>
      <c r="S149" t="s">
        <v>52</v>
      </c>
      <c r="T149">
        <v>695</v>
      </c>
      <c r="U149" t="s">
        <v>52</v>
      </c>
      <c r="V149">
        <v>867</v>
      </c>
    </row>
    <row r="150" spans="1:36" x14ac:dyDescent="0.3">
      <c r="A150" t="s">
        <v>91</v>
      </c>
      <c r="B150" s="8">
        <f>1632/210</f>
        <v>7.7714285714285714</v>
      </c>
      <c r="C150" s="8">
        <f>2031/256</f>
        <v>7.93359375</v>
      </c>
      <c r="D150" s="8">
        <f>3068/414</f>
        <v>7.4106280193236715</v>
      </c>
      <c r="E150" s="8">
        <f>3322/590</f>
        <v>5.6305084745762715</v>
      </c>
      <c r="F150">
        <f>6027/1116</f>
        <v>5.400537634408602</v>
      </c>
      <c r="G150">
        <f>11915/1875</f>
        <v>6.3546666666666667</v>
      </c>
      <c r="H150">
        <f>22637/3234</f>
        <v>6.9996907854050709</v>
      </c>
      <c r="I150">
        <f>32098/4125</f>
        <v>7.7813333333333334</v>
      </c>
      <c r="J150">
        <f>35670/4676</f>
        <v>7.6283147989734816</v>
      </c>
      <c r="K150">
        <f>34496/4890</f>
        <v>7.0543967280163598</v>
      </c>
      <c r="L150">
        <f>25271/3115</f>
        <v>8.1126805778491171</v>
      </c>
      <c r="M150" s="7" t="s">
        <v>45</v>
      </c>
      <c r="N150">
        <f>9003/1050</f>
        <v>8.5742857142857147</v>
      </c>
      <c r="O150" t="s">
        <v>91</v>
      </c>
    </row>
    <row r="151" spans="1:36" x14ac:dyDescent="0.3">
      <c r="A151" t="s">
        <v>92</v>
      </c>
      <c r="B151" s="8">
        <f>74168/210</f>
        <v>353.18095238095236</v>
      </c>
      <c r="C151" s="8">
        <f>74014/256</f>
        <v>289.1171875</v>
      </c>
      <c r="D151" s="8">
        <f>136986/414</f>
        <v>330.8840579710145</v>
      </c>
      <c r="E151" s="8">
        <f>148030/590</f>
        <v>250.89830508474577</v>
      </c>
      <c r="F151">
        <f>337583/1116</f>
        <v>302.4937275985663</v>
      </c>
      <c r="G151">
        <f>388942/1875</f>
        <v>207.43573333333333</v>
      </c>
      <c r="H151">
        <f>752213/3234</f>
        <v>232.5952380952381</v>
      </c>
      <c r="I151">
        <f>1107399/4125</f>
        <v>268.46036363636364</v>
      </c>
      <c r="J151">
        <f>922383/4676</f>
        <v>197.25898203592814</v>
      </c>
      <c r="K151">
        <f>1892849/4890</f>
        <v>387.08568507157463</v>
      </c>
      <c r="L151">
        <f>1129074/3115</f>
        <v>362.46356340288924</v>
      </c>
      <c r="M151" s="7" t="s">
        <v>45</v>
      </c>
      <c r="N151">
        <f>445200/1050</f>
        <v>424</v>
      </c>
      <c r="O151" t="s">
        <v>92</v>
      </c>
    </row>
    <row r="154" spans="1:36" x14ac:dyDescent="0.3">
      <c r="A154" t="s">
        <v>25</v>
      </c>
      <c r="B154" t="s">
        <v>104</v>
      </c>
      <c r="C154" t="s">
        <v>105</v>
      </c>
      <c r="D154" t="s">
        <v>107</v>
      </c>
    </row>
    <row r="155" spans="1:36" x14ac:dyDescent="0.3">
      <c r="A155" t="s">
        <v>106</v>
      </c>
      <c r="B155">
        <v>104</v>
      </c>
      <c r="C155">
        <v>204</v>
      </c>
      <c r="D155">
        <v>511</v>
      </c>
      <c r="E155">
        <v>1037</v>
      </c>
      <c r="F155">
        <v>1568</v>
      </c>
      <c r="G155">
        <v>2149</v>
      </c>
      <c r="H155">
        <v>2657</v>
      </c>
      <c r="I155">
        <v>3075</v>
      </c>
      <c r="J155">
        <v>3505</v>
      </c>
      <c r="K155">
        <v>4025</v>
      </c>
      <c r="L155">
        <v>5043</v>
      </c>
      <c r="M155">
        <v>6085</v>
      </c>
    </row>
    <row r="156" spans="1:36" x14ac:dyDescent="0.3">
      <c r="A156" t="s">
        <v>50</v>
      </c>
      <c r="B156">
        <v>851</v>
      </c>
      <c r="C156">
        <v>1821</v>
      </c>
      <c r="D156">
        <v>4617</v>
      </c>
      <c r="E156">
        <v>9044</v>
      </c>
      <c r="F156">
        <v>14108</v>
      </c>
      <c r="G156">
        <v>18991</v>
      </c>
      <c r="H156">
        <v>23556</v>
      </c>
      <c r="I156">
        <v>27895</v>
      </c>
      <c r="J156">
        <v>31368</v>
      </c>
      <c r="K156" t="s">
        <v>45</v>
      </c>
      <c r="L156" t="s">
        <v>45</v>
      </c>
      <c r="M156" t="s">
        <v>45</v>
      </c>
    </row>
    <row r="157" spans="1:36" x14ac:dyDescent="0.3">
      <c r="A157" t="s">
        <v>51</v>
      </c>
      <c r="B157">
        <v>865</v>
      </c>
      <c r="C157">
        <v>1646</v>
      </c>
      <c r="D157">
        <v>4454</v>
      </c>
      <c r="E157">
        <v>8634</v>
      </c>
      <c r="F157">
        <v>12212</v>
      </c>
      <c r="G157">
        <v>17782</v>
      </c>
      <c r="H157">
        <v>21449</v>
      </c>
      <c r="I157">
        <v>25804</v>
      </c>
      <c r="J157">
        <v>28934</v>
      </c>
      <c r="K157" t="s">
        <v>45</v>
      </c>
      <c r="L157" t="s">
        <v>45</v>
      </c>
      <c r="M157" t="s">
        <v>45</v>
      </c>
      <c r="AA157" t="s">
        <v>106</v>
      </c>
      <c r="AB157">
        <v>104</v>
      </c>
      <c r="AC157">
        <v>204</v>
      </c>
      <c r="AD157">
        <v>511</v>
      </c>
      <c r="AE157">
        <v>1037</v>
      </c>
      <c r="AF157">
        <v>1568</v>
      </c>
      <c r="AG157">
        <v>2149</v>
      </c>
      <c r="AH157">
        <v>2657</v>
      </c>
      <c r="AI157">
        <v>3075</v>
      </c>
      <c r="AJ157">
        <v>3505</v>
      </c>
    </row>
    <row r="158" spans="1:36" x14ac:dyDescent="0.3">
      <c r="A158" t="s">
        <v>85</v>
      </c>
      <c r="B158">
        <v>58649</v>
      </c>
      <c r="C158">
        <v>79523</v>
      </c>
      <c r="D158">
        <v>182057</v>
      </c>
      <c r="E158">
        <v>401520</v>
      </c>
      <c r="F158">
        <v>617231</v>
      </c>
      <c r="G158">
        <v>763670</v>
      </c>
      <c r="H158">
        <v>1104941</v>
      </c>
      <c r="I158">
        <v>1039116</v>
      </c>
      <c r="J158">
        <v>1490343</v>
      </c>
      <c r="K158" t="s">
        <v>45</v>
      </c>
      <c r="L158" t="s">
        <v>45</v>
      </c>
      <c r="M158" t="s">
        <v>45</v>
      </c>
      <c r="AA158" t="s">
        <v>24</v>
      </c>
      <c r="AB158">
        <f>851/104</f>
        <v>8.1826923076923084</v>
      </c>
      <c r="AC158">
        <f>1821/204</f>
        <v>8.9264705882352935</v>
      </c>
      <c r="AD158">
        <f>4617/511</f>
        <v>9.0352250489236798</v>
      </c>
      <c r="AE158">
        <f>9044/1037</f>
        <v>8.721311475409836</v>
      </c>
      <c r="AF158">
        <f>14108/1568</f>
        <v>8.9974489795918373</v>
      </c>
      <c r="AG158">
        <f>18991/2149</f>
        <v>8.8371335504886002</v>
      </c>
      <c r="AH158">
        <f>23556/2657</f>
        <v>8.8656379375235232</v>
      </c>
      <c r="AI158">
        <f>27895/3075</f>
        <v>9.0715447154471551</v>
      </c>
      <c r="AJ158">
        <f>31368/3505</f>
        <v>8.9495007132667617</v>
      </c>
    </row>
    <row r="159" spans="1:36" x14ac:dyDescent="0.3">
      <c r="A159" t="s">
        <v>90</v>
      </c>
      <c r="B159">
        <f>851/104</f>
        <v>8.1826923076923084</v>
      </c>
      <c r="C159">
        <f>1821/204</f>
        <v>8.9264705882352935</v>
      </c>
      <c r="D159">
        <f>4617/511</f>
        <v>9.0352250489236798</v>
      </c>
      <c r="E159">
        <f>9044/1037</f>
        <v>8.721311475409836</v>
      </c>
      <c r="F159">
        <f>14108/1568</f>
        <v>8.9974489795918373</v>
      </c>
      <c r="G159">
        <f>18991/2149</f>
        <v>8.8371335504886002</v>
      </c>
      <c r="H159">
        <f>23556/2657</f>
        <v>8.8656379375235232</v>
      </c>
      <c r="I159">
        <f>27895/3075</f>
        <v>9.0715447154471551</v>
      </c>
      <c r="J159">
        <f>31368/3505</f>
        <v>8.9495007132667617</v>
      </c>
      <c r="K159" t="s">
        <v>45</v>
      </c>
      <c r="L159" t="s">
        <v>45</v>
      </c>
      <c r="M159" t="s">
        <v>45</v>
      </c>
      <c r="AA159" t="s">
        <v>117</v>
      </c>
      <c r="AB159">
        <f>865/104</f>
        <v>8.3173076923076916</v>
      </c>
      <c r="AC159">
        <f>1646/204</f>
        <v>8.0686274509803919</v>
      </c>
      <c r="AD159">
        <f>4454/511</f>
        <v>8.7162426614481401</v>
      </c>
      <c r="AE159">
        <f>8634/1037</f>
        <v>8.3259402121504333</v>
      </c>
      <c r="AF159">
        <f>12212/1568</f>
        <v>7.7882653061224492</v>
      </c>
      <c r="AG159">
        <f>17782/2149</f>
        <v>8.274546300604932</v>
      </c>
      <c r="AH159">
        <f>21449/2657</f>
        <v>8.0726383138878433</v>
      </c>
      <c r="AI159">
        <f>25804/3075</f>
        <v>8.3915447154471536</v>
      </c>
      <c r="AJ159">
        <f>28934/3505</f>
        <v>8.2550641940085594</v>
      </c>
    </row>
    <row r="160" spans="1:36" x14ac:dyDescent="0.3">
      <c r="A160" t="s">
        <v>91</v>
      </c>
      <c r="B160">
        <f>865/104</f>
        <v>8.3173076923076916</v>
      </c>
      <c r="C160">
        <f>1646/204</f>
        <v>8.0686274509803919</v>
      </c>
      <c r="D160">
        <f>4454/511</f>
        <v>8.7162426614481401</v>
      </c>
      <c r="E160">
        <f>8634/1037</f>
        <v>8.3259402121504333</v>
      </c>
      <c r="F160">
        <f>12212/1568</f>
        <v>7.7882653061224492</v>
      </c>
      <c r="G160">
        <f>17782/2149</f>
        <v>8.274546300604932</v>
      </c>
      <c r="H160">
        <f>21449/2657</f>
        <v>8.0726383138878433</v>
      </c>
      <c r="I160">
        <f>25804/3075</f>
        <v>8.3915447154471536</v>
      </c>
      <c r="J160">
        <f>28934/3505</f>
        <v>8.2550641940085594</v>
      </c>
      <c r="K160" t="s">
        <v>45</v>
      </c>
      <c r="L160" t="s">
        <v>45</v>
      </c>
      <c r="M160" t="s">
        <v>45</v>
      </c>
      <c r="AA160" t="s">
        <v>116</v>
      </c>
      <c r="AB160">
        <f>58649/104/100</f>
        <v>5.639326923076923</v>
      </c>
      <c r="AC160">
        <f>79523/204/100</f>
        <v>3.8981862745098037</v>
      </c>
      <c r="AD160">
        <f>182057/511/100</f>
        <v>3.5627592954990219</v>
      </c>
      <c r="AE160">
        <f>401520/1037/100</f>
        <v>3.8719382835101253</v>
      </c>
      <c r="AF160">
        <f>617231/1568/100</f>
        <v>3.9364221938775512</v>
      </c>
      <c r="AG160">
        <f>763670/2149/100</f>
        <v>3.5536063285248951</v>
      </c>
      <c r="AH160">
        <f>1104941/2657/100</f>
        <v>4.1586036883703423</v>
      </c>
      <c r="AI160">
        <f>1039116/3075/100</f>
        <v>3.3792390243902442</v>
      </c>
      <c r="AJ160">
        <f>1490343/3505/100</f>
        <v>4.2520485021398002</v>
      </c>
    </row>
    <row r="161" spans="1:14" x14ac:dyDescent="0.3">
      <c r="A161" t="s">
        <v>92</v>
      </c>
      <c r="B161">
        <f>58649/104</f>
        <v>563.93269230769226</v>
      </c>
      <c r="C161">
        <f>79523/204</f>
        <v>389.81862745098039</v>
      </c>
      <c r="D161">
        <f>182057/511</f>
        <v>356.27592954990217</v>
      </c>
      <c r="E161">
        <f>401520/1037</f>
        <v>387.19382835101254</v>
      </c>
      <c r="F161">
        <f>617231/1568</f>
        <v>393.64221938775512</v>
      </c>
      <c r="G161">
        <f>763670/2149</f>
        <v>355.36063285248952</v>
      </c>
      <c r="H161">
        <f>1104941/2657</f>
        <v>415.86036883703423</v>
      </c>
      <c r="I161">
        <f>1039116/3075</f>
        <v>337.9239024390244</v>
      </c>
      <c r="J161">
        <f>1490343/3505</f>
        <v>425.20485021398002</v>
      </c>
      <c r="K161" t="s">
        <v>45</v>
      </c>
      <c r="L161" t="s">
        <v>45</v>
      </c>
      <c r="M161" t="s">
        <v>45</v>
      </c>
    </row>
    <row r="162" spans="1:14" x14ac:dyDescent="0.3">
      <c r="I162" t="s">
        <v>112</v>
      </c>
      <c r="J162" t="s">
        <v>112</v>
      </c>
    </row>
    <row r="163" spans="1:14" x14ac:dyDescent="0.3">
      <c r="A163" t="s">
        <v>108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</row>
    <row r="164" spans="1:14" x14ac:dyDescent="0.3">
      <c r="A164" t="s">
        <v>106</v>
      </c>
      <c r="B164">
        <v>3011</v>
      </c>
      <c r="C164">
        <v>3149</v>
      </c>
      <c r="D164">
        <v>3054</v>
      </c>
      <c r="E164">
        <v>3093</v>
      </c>
      <c r="F164">
        <v>3154</v>
      </c>
      <c r="G164">
        <v>3077</v>
      </c>
      <c r="H164">
        <v>3026</v>
      </c>
      <c r="I164">
        <v>3012</v>
      </c>
      <c r="J164">
        <v>2000</v>
      </c>
      <c r="K164" t="s">
        <v>111</v>
      </c>
    </row>
    <row r="165" spans="1:14" x14ac:dyDescent="0.3">
      <c r="A165" t="s">
        <v>50</v>
      </c>
      <c r="B165">
        <v>27241</v>
      </c>
      <c r="C165">
        <v>30681</v>
      </c>
      <c r="D165">
        <v>31253</v>
      </c>
      <c r="E165">
        <v>29389</v>
      </c>
      <c r="F165">
        <v>30123</v>
      </c>
      <c r="G165">
        <v>30477</v>
      </c>
      <c r="H165">
        <v>29196</v>
      </c>
      <c r="I165">
        <v>28656</v>
      </c>
      <c r="J165">
        <v>20250</v>
      </c>
      <c r="K165">
        <f>SUM(B165:J165)</f>
        <v>257266</v>
      </c>
    </row>
    <row r="166" spans="1:14" x14ac:dyDescent="0.3">
      <c r="A166" t="s">
        <v>51</v>
      </c>
      <c r="B166">
        <v>24796</v>
      </c>
      <c r="C166">
        <v>27340</v>
      </c>
      <c r="D166">
        <v>27585</v>
      </c>
      <c r="E166">
        <v>28174</v>
      </c>
      <c r="F166">
        <v>28021</v>
      </c>
      <c r="G166">
        <v>27233</v>
      </c>
      <c r="H166">
        <v>25906</v>
      </c>
      <c r="I166">
        <v>24330</v>
      </c>
      <c r="J166">
        <v>17068</v>
      </c>
      <c r="K166">
        <f>SUM(B166:J166)</f>
        <v>230453</v>
      </c>
    </row>
    <row r="167" spans="1:14" x14ac:dyDescent="0.3">
      <c r="A167" t="s">
        <v>85</v>
      </c>
      <c r="B167">
        <v>1128873</v>
      </c>
      <c r="C167">
        <v>826028</v>
      </c>
      <c r="D167">
        <v>747515</v>
      </c>
      <c r="E167">
        <v>1252003</v>
      </c>
      <c r="F167">
        <v>1043889</v>
      </c>
      <c r="G167">
        <v>852864</v>
      </c>
      <c r="H167">
        <v>768373</v>
      </c>
      <c r="I167">
        <v>1098457</v>
      </c>
      <c r="J167">
        <v>607663</v>
      </c>
      <c r="K167">
        <f>SUM(B167:J167)</f>
        <v>8325665</v>
      </c>
      <c r="L167" s="8" t="s">
        <v>113</v>
      </c>
      <c r="M167" t="s">
        <v>115</v>
      </c>
      <c r="N167" t="s">
        <v>114</v>
      </c>
    </row>
    <row r="168" spans="1:14" x14ac:dyDescent="0.3">
      <c r="A168" t="s">
        <v>90</v>
      </c>
      <c r="B168">
        <f>(27241/3011)</f>
        <v>9.0471604118233149</v>
      </c>
      <c r="C168">
        <f>30681/3149</f>
        <v>9.743093045411241</v>
      </c>
      <c r="D168">
        <f>31253/3054</f>
        <v>10.233464309102816</v>
      </c>
      <c r="E168">
        <f>29389/3093</f>
        <v>9.5017782088587133</v>
      </c>
      <c r="F168">
        <f>30123/3154</f>
        <v>9.5507292327203555</v>
      </c>
      <c r="G168">
        <f>30477/3077</f>
        <v>9.904777380565486</v>
      </c>
      <c r="H168">
        <f>29196/3026</f>
        <v>9.6483807005948439</v>
      </c>
      <c r="I168">
        <f>28656/3012</f>
        <v>9.5139442231075702</v>
      </c>
      <c r="J168">
        <f>20250/2000</f>
        <v>10.125</v>
      </c>
      <c r="L168">
        <f>AVERAGE(B168:J168)</f>
        <v>9.6964808346871489</v>
      </c>
      <c r="M168">
        <f>AVERAGE(B168:H168)</f>
        <v>9.6613404698681098</v>
      </c>
      <c r="N168">
        <f>AVERAGE(I168:J168)</f>
        <v>9.819472111553786</v>
      </c>
    </row>
    <row r="169" spans="1:14" x14ac:dyDescent="0.3">
      <c r="A169" t="s">
        <v>91</v>
      </c>
      <c r="B169">
        <f>(24796/3011)</f>
        <v>8.235137827964131</v>
      </c>
      <c r="C169">
        <f>27340/3149</f>
        <v>8.6821213083518582</v>
      </c>
      <c r="D169">
        <f>27585/3054</f>
        <v>9.0324165029469548</v>
      </c>
      <c r="E169">
        <f>28174/3093</f>
        <v>9.1089557064338837</v>
      </c>
      <c r="F169">
        <f>28021/3154</f>
        <v>8.8842739378566904</v>
      </c>
      <c r="G169">
        <f>27233/3077</f>
        <v>8.850503737406564</v>
      </c>
      <c r="H169">
        <f>25906/3026</f>
        <v>8.5611368142762725</v>
      </c>
      <c r="I169">
        <f>24330/3012</f>
        <v>8.0776892430278888</v>
      </c>
      <c r="J169">
        <f>17068/2000</f>
        <v>8.5340000000000007</v>
      </c>
      <c r="L169">
        <f>AVERAGE(B169:J169)</f>
        <v>8.6629150086960269</v>
      </c>
      <c r="M169">
        <f t="shared" ref="M169:M170" si="7">AVERAGE(B169:H169)</f>
        <v>8.76493511931948</v>
      </c>
      <c r="N169">
        <f>AVERAGE(I169:J169)</f>
        <v>8.3058446215139448</v>
      </c>
    </row>
    <row r="170" spans="1:14" x14ac:dyDescent="0.3">
      <c r="A170" t="s">
        <v>92</v>
      </c>
      <c r="B170">
        <f>(1128873/3011)</f>
        <v>374.91630687479244</v>
      </c>
      <c r="C170">
        <f>826028/3149</f>
        <v>262.31438551921246</v>
      </c>
      <c r="D170">
        <f>747515/3054</f>
        <v>244.76588081204977</v>
      </c>
      <c r="E170">
        <f>1252003/3093</f>
        <v>404.78596831555126</v>
      </c>
      <c r="F170">
        <f>1043889/3154</f>
        <v>330.97305009511729</v>
      </c>
      <c r="G170">
        <f>852864/3077</f>
        <v>277.17387065323368</v>
      </c>
      <c r="H170">
        <f>768373/3026</f>
        <v>253.92366159947125</v>
      </c>
      <c r="I170">
        <f>1098457/3012</f>
        <v>364.69355909694553</v>
      </c>
      <c r="J170">
        <f>607663/2000</f>
        <v>303.83150000000001</v>
      </c>
      <c r="L170">
        <f>AVERAGE(B170:J170)</f>
        <v>313.04202032959711</v>
      </c>
      <c r="M170">
        <f t="shared" si="7"/>
        <v>306.97901769563259</v>
      </c>
      <c r="N170">
        <f>AVERAGE(I170:J170)</f>
        <v>334.2625295484728</v>
      </c>
    </row>
    <row r="172" spans="1:14" x14ac:dyDescent="0.3">
      <c r="A172" t="s">
        <v>109</v>
      </c>
      <c r="H172" t="s">
        <v>112</v>
      </c>
      <c r="I172" t="s">
        <v>112</v>
      </c>
    </row>
    <row r="173" spans="1:14" x14ac:dyDescent="0.3">
      <c r="A173" t="s">
        <v>110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7</v>
      </c>
      <c r="H173">
        <v>8</v>
      </c>
      <c r="I173">
        <v>9</v>
      </c>
    </row>
    <row r="174" spans="1:14" x14ac:dyDescent="0.3">
      <c r="A174" t="s">
        <v>106</v>
      </c>
      <c r="B174">
        <v>3011</v>
      </c>
      <c r="C174">
        <v>3149</v>
      </c>
      <c r="D174">
        <v>3054</v>
      </c>
      <c r="E174">
        <v>3093</v>
      </c>
      <c r="F174">
        <v>3154</v>
      </c>
      <c r="G174">
        <v>3026</v>
      </c>
      <c r="H174">
        <v>3012</v>
      </c>
      <c r="I174">
        <v>2000</v>
      </c>
      <c r="J174" t="s">
        <v>111</v>
      </c>
    </row>
    <row r="175" spans="1:14" x14ac:dyDescent="0.3">
      <c r="A175" t="s">
        <v>50</v>
      </c>
      <c r="B175">
        <v>27665</v>
      </c>
      <c r="C175">
        <v>28349</v>
      </c>
      <c r="D175">
        <v>27874</v>
      </c>
      <c r="E175">
        <v>30408</v>
      </c>
      <c r="F175">
        <v>30552</v>
      </c>
      <c r="G175">
        <v>27287</v>
      </c>
      <c r="H175">
        <v>29005</v>
      </c>
      <c r="I175">
        <v>20337</v>
      </c>
      <c r="J175">
        <f>SUM(B175:I175)</f>
        <v>221477</v>
      </c>
    </row>
    <row r="176" spans="1:14" x14ac:dyDescent="0.3">
      <c r="A176" t="s">
        <v>51</v>
      </c>
      <c r="B176">
        <v>21977</v>
      </c>
      <c r="C176">
        <v>23656</v>
      </c>
      <c r="D176">
        <v>24225</v>
      </c>
      <c r="E176">
        <v>26364</v>
      </c>
      <c r="F176">
        <v>26706</v>
      </c>
      <c r="G176">
        <v>24405</v>
      </c>
      <c r="H176">
        <v>22464</v>
      </c>
      <c r="I176">
        <v>15733</v>
      </c>
      <c r="J176">
        <f>SUM(B176:I176)</f>
        <v>185530</v>
      </c>
    </row>
    <row r="177" spans="1:13" x14ac:dyDescent="0.3">
      <c r="A177" t="s">
        <v>85</v>
      </c>
      <c r="B177">
        <v>830515</v>
      </c>
      <c r="C177">
        <v>836547</v>
      </c>
      <c r="D177">
        <v>844315</v>
      </c>
      <c r="E177">
        <v>800038</v>
      </c>
      <c r="F177">
        <v>968130</v>
      </c>
      <c r="G177">
        <v>1215430</v>
      </c>
      <c r="H177">
        <v>1061965</v>
      </c>
      <c r="I177">
        <v>600977</v>
      </c>
      <c r="J177">
        <f>SUM(B177:I177)</f>
        <v>7157917</v>
      </c>
      <c r="K177" s="8" t="s">
        <v>113</v>
      </c>
      <c r="L177" t="s">
        <v>115</v>
      </c>
      <c r="M177" t="s">
        <v>114</v>
      </c>
    </row>
    <row r="178" spans="1:13" x14ac:dyDescent="0.3">
      <c r="A178" t="s">
        <v>90</v>
      </c>
      <c r="B178">
        <f>27665/3011</f>
        <v>9.1879774161408179</v>
      </c>
      <c r="C178">
        <f>28349/3149</f>
        <v>9.0025404890441418</v>
      </c>
      <c r="D178">
        <f>27874/3054</f>
        <v>9.127046496398167</v>
      </c>
      <c r="E178">
        <f>30408/3093</f>
        <v>9.8312318137730355</v>
      </c>
      <c r="F178">
        <f>30552/3154</f>
        <v>9.6867469879518069</v>
      </c>
      <c r="G178">
        <f>27287/3026</f>
        <v>9.0175148711169868</v>
      </c>
      <c r="H178">
        <f>29005/3012</f>
        <v>9.6298140770252321</v>
      </c>
      <c r="I178">
        <f>20337/2000</f>
        <v>10.1685</v>
      </c>
      <c r="K178">
        <f>AVERAGE(B178:I178)</f>
        <v>9.4564215189312737</v>
      </c>
      <c r="L178">
        <f>AVERAGE(B178:G178)</f>
        <v>9.308843012404159</v>
      </c>
      <c r="M178">
        <f>AVERAGE(H178:I178)</f>
        <v>9.899157038512616</v>
      </c>
    </row>
    <row r="179" spans="1:13" x14ac:dyDescent="0.3">
      <c r="A179" t="s">
        <v>91</v>
      </c>
      <c r="B179">
        <f>21977/3011</f>
        <v>7.2989040185984724</v>
      </c>
      <c r="C179">
        <f>23656/3149</f>
        <v>7.5122261035249283</v>
      </c>
      <c r="D179">
        <f>24225/3054</f>
        <v>7.9322200392927309</v>
      </c>
      <c r="E179">
        <f>26364/3093</f>
        <v>8.5237633365664411</v>
      </c>
      <c r="F179">
        <f>26706/3154</f>
        <v>8.4673430564362722</v>
      </c>
      <c r="G179">
        <f>24405/3026</f>
        <v>8.0651024454725704</v>
      </c>
      <c r="H179">
        <f>22464/3012</f>
        <v>7.4581673306772904</v>
      </c>
      <c r="I179">
        <f>15733/2000</f>
        <v>7.8665000000000003</v>
      </c>
      <c r="K179">
        <f>AVERAGE(B179:I179)</f>
        <v>7.8905282913210879</v>
      </c>
      <c r="L179">
        <f>AVERAGE(B179:G179)</f>
        <v>7.9665931666485683</v>
      </c>
      <c r="M179">
        <f t="shared" ref="M179:M180" si="8">AVERAGE(H179:I179)</f>
        <v>7.6623336653386449</v>
      </c>
    </row>
    <row r="180" spans="1:13" x14ac:dyDescent="0.3">
      <c r="A180" t="s">
        <v>92</v>
      </c>
      <c r="B180">
        <f>830515/3011</f>
        <v>275.82696778478913</v>
      </c>
      <c r="C180">
        <f>836547/3149</f>
        <v>265.65481105112735</v>
      </c>
      <c r="D180">
        <f>844315/3054</f>
        <v>276.46201702685005</v>
      </c>
      <c r="E180">
        <f>800038/3093</f>
        <v>258.66084707403814</v>
      </c>
      <c r="F180">
        <f>968130/3154</f>
        <v>306.95307545973367</v>
      </c>
      <c r="G180">
        <f>1215430/3026</f>
        <v>401.66226040978188</v>
      </c>
      <c r="H180">
        <f>1061965/3012</f>
        <v>352.57802124833995</v>
      </c>
      <c r="I180">
        <f>600977/2000</f>
        <v>300.48849999999999</v>
      </c>
      <c r="K180">
        <f>AVERAGE(B180:I180)</f>
        <v>304.78581250683254</v>
      </c>
      <c r="L180">
        <f>AVERAGE(B180:G180)</f>
        <v>297.53666313438674</v>
      </c>
      <c r="M180">
        <f t="shared" si="8"/>
        <v>326.53326062417</v>
      </c>
    </row>
    <row r="183" spans="1:13" x14ac:dyDescent="0.3">
      <c r="A183" t="s">
        <v>124</v>
      </c>
      <c r="B183" t="s">
        <v>129</v>
      </c>
      <c r="C183" t="s">
        <v>26</v>
      </c>
      <c r="D183" t="s">
        <v>27</v>
      </c>
      <c r="E183" t="s">
        <v>116</v>
      </c>
      <c r="F183" t="s">
        <v>121</v>
      </c>
      <c r="G183" t="s">
        <v>123</v>
      </c>
      <c r="H183" t="s">
        <v>122</v>
      </c>
    </row>
    <row r="184" spans="1:13" x14ac:dyDescent="0.3">
      <c r="A184" t="s">
        <v>26</v>
      </c>
      <c r="B184">
        <v>27160</v>
      </c>
      <c r="C184">
        <v>27094</v>
      </c>
      <c r="D184">
        <v>27173</v>
      </c>
      <c r="E184">
        <v>27160</v>
      </c>
      <c r="F184">
        <v>27098</v>
      </c>
      <c r="G184">
        <v>27160</v>
      </c>
      <c r="H184">
        <v>27244</v>
      </c>
    </row>
    <row r="185" spans="1:13" x14ac:dyDescent="0.3">
      <c r="A185" t="s">
        <v>27</v>
      </c>
      <c r="B185">
        <v>24722</v>
      </c>
      <c r="C185">
        <v>24650</v>
      </c>
      <c r="D185">
        <v>24714</v>
      </c>
      <c r="E185">
        <v>24722</v>
      </c>
      <c r="F185">
        <v>24655</v>
      </c>
      <c r="G185">
        <v>24722</v>
      </c>
      <c r="H185">
        <v>24696</v>
      </c>
    </row>
    <row r="186" spans="1:13" x14ac:dyDescent="0.3">
      <c r="A186" t="s">
        <v>121</v>
      </c>
      <c r="B186">
        <v>116</v>
      </c>
      <c r="C186">
        <v>116</v>
      </c>
      <c r="D186">
        <v>116</v>
      </c>
      <c r="E186">
        <v>116</v>
      </c>
      <c r="F186">
        <v>116</v>
      </c>
      <c r="G186">
        <v>116</v>
      </c>
      <c r="H186">
        <v>116</v>
      </c>
    </row>
    <row r="187" spans="1:13" x14ac:dyDescent="0.3">
      <c r="A187" t="s">
        <v>116</v>
      </c>
      <c r="B187">
        <v>1264854</v>
      </c>
      <c r="C187">
        <v>1279310</v>
      </c>
      <c r="D187">
        <v>1265694</v>
      </c>
      <c r="E187">
        <v>1264854</v>
      </c>
      <c r="F187">
        <v>1279174</v>
      </c>
      <c r="G187">
        <v>1264854</v>
      </c>
      <c r="H187">
        <v>1282475</v>
      </c>
    </row>
    <row r="188" spans="1:13" x14ac:dyDescent="0.3">
      <c r="A188" t="s">
        <v>127</v>
      </c>
      <c r="B188">
        <f t="shared" ref="B188:H189" si="9">B184/2932</f>
        <v>9.2633015006821289</v>
      </c>
      <c r="C188">
        <f t="shared" si="9"/>
        <v>9.2407912687585263</v>
      </c>
      <c r="D188">
        <f t="shared" si="9"/>
        <v>9.2677353342428379</v>
      </c>
      <c r="E188">
        <f t="shared" si="9"/>
        <v>9.2633015006821289</v>
      </c>
      <c r="F188">
        <f t="shared" si="9"/>
        <v>9.2421555252387453</v>
      </c>
      <c r="G188">
        <f t="shared" si="9"/>
        <v>9.2633015006821289</v>
      </c>
      <c r="H188">
        <f t="shared" si="9"/>
        <v>9.2919508867667115</v>
      </c>
    </row>
    <row r="189" spans="1:13" x14ac:dyDescent="0.3">
      <c r="A189" t="s">
        <v>126</v>
      </c>
      <c r="B189">
        <f t="shared" si="9"/>
        <v>8.4317871759890863</v>
      </c>
      <c r="C189">
        <f t="shared" si="9"/>
        <v>8.4072305593451571</v>
      </c>
      <c r="D189">
        <f t="shared" si="9"/>
        <v>8.4290586630286501</v>
      </c>
      <c r="E189">
        <f t="shared" si="9"/>
        <v>8.4317871759890863</v>
      </c>
      <c r="F189">
        <f t="shared" si="9"/>
        <v>8.4089358799454299</v>
      </c>
      <c r="G189">
        <f t="shared" si="9"/>
        <v>8.4317871759890863</v>
      </c>
      <c r="H189">
        <f t="shared" si="9"/>
        <v>8.4229195088676665</v>
      </c>
    </row>
    <row r="190" spans="1:13" x14ac:dyDescent="0.3">
      <c r="A190" t="s">
        <v>125</v>
      </c>
      <c r="B190">
        <f t="shared" ref="B190:H190" si="10">B186/2932 * 1000</f>
        <v>39.563437926330153</v>
      </c>
      <c r="C190">
        <f t="shared" si="10"/>
        <v>39.563437926330153</v>
      </c>
      <c r="D190">
        <f t="shared" si="10"/>
        <v>39.563437926330153</v>
      </c>
      <c r="E190">
        <f t="shared" si="10"/>
        <v>39.563437926330153</v>
      </c>
      <c r="F190">
        <f t="shared" si="10"/>
        <v>39.563437926330153</v>
      </c>
      <c r="G190">
        <f t="shared" si="10"/>
        <v>39.563437926330153</v>
      </c>
      <c r="H190">
        <f t="shared" si="10"/>
        <v>39.563437926330153</v>
      </c>
    </row>
    <row r="191" spans="1:13" x14ac:dyDescent="0.3">
      <c r="A191" t="s">
        <v>128</v>
      </c>
      <c r="B191">
        <f t="shared" ref="B191:H191" si="11">B187/2932</f>
        <v>431.3963165075034</v>
      </c>
      <c r="C191">
        <f t="shared" si="11"/>
        <v>436.32673942701228</v>
      </c>
      <c r="D191">
        <f t="shared" si="11"/>
        <v>431.68281036834924</v>
      </c>
      <c r="E191">
        <f t="shared" si="11"/>
        <v>431.3963165075034</v>
      </c>
      <c r="F191">
        <f t="shared" si="11"/>
        <v>436.28035470668488</v>
      </c>
      <c r="G191">
        <f t="shared" si="11"/>
        <v>431.3963165075034</v>
      </c>
      <c r="H191">
        <f t="shared" si="11"/>
        <v>437.40620736698497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2022-06-30T09:17:34Z</dcterms:modified>
</cp:coreProperties>
</file>