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 Westphal\OneDrive - McKinsey &amp; Company\Documents\TUM\Diss\Paper1\Code\Input\"/>
    </mc:Choice>
  </mc:AlternateContent>
  <xr:revisionPtr revIDLastSave="0" documentId="13_ncr:1_{A86256EC-CC05-4D36-9A15-44DDC94C2F01}" xr6:coauthVersionLast="47" xr6:coauthVersionMax="47" xr10:uidLastSave="{00000000-0000-0000-0000-000000000000}"/>
  <bookViews>
    <workbookView xWindow="-120" yWindow="-120" windowWidth="29040" windowHeight="15720" firstSheet="3" activeTab="3" xr2:uid="{1AF73084-CE62-4C05-A67C-007AA199877B}"/>
  </bookViews>
  <sheets>
    <sheet name="VehMun" sheetId="2" r:id="rId1"/>
    <sheet name="Munich" sheetId="3" r:id="rId2"/>
    <sheet name="VehSea" sheetId="6" r:id="rId3"/>
    <sheet name="Seatt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/>
  <c r="J2" i="6" s="1"/>
  <c r="D3" i="6"/>
  <c r="J3" i="6" s="1"/>
  <c r="K13" i="6"/>
  <c r="L13" i="6" s="1"/>
  <c r="M13" i="6" s="1"/>
  <c r="J13" i="6"/>
  <c r="I13" i="6"/>
  <c r="J12" i="6"/>
  <c r="I12" i="6"/>
  <c r="J11" i="6"/>
  <c r="K11" i="6" s="1"/>
  <c r="L11" i="6" s="1"/>
  <c r="M11" i="6" s="1"/>
  <c r="I11" i="6"/>
  <c r="J10" i="6"/>
  <c r="I10" i="6"/>
  <c r="J9" i="6"/>
  <c r="I9" i="6"/>
  <c r="K9" i="6" s="1"/>
  <c r="L9" i="6" s="1"/>
  <c r="M9" i="6" s="1"/>
  <c r="J8" i="6"/>
  <c r="I8" i="6"/>
  <c r="J7" i="6"/>
  <c r="I7" i="6"/>
  <c r="J6" i="6"/>
  <c r="I6" i="6"/>
  <c r="K6" i="6" s="1"/>
  <c r="L6" i="6" s="1"/>
  <c r="M6" i="6" s="1"/>
  <c r="J5" i="6"/>
  <c r="I5" i="6"/>
  <c r="K5" i="6" s="1"/>
  <c r="L5" i="6" s="1"/>
  <c r="M5" i="6" s="1"/>
  <c r="J4" i="6"/>
  <c r="I4" i="6"/>
  <c r="B7" i="5"/>
  <c r="I5" i="2"/>
  <c r="B6" i="5"/>
  <c r="B21" i="3"/>
  <c r="B11" i="5"/>
  <c r="B16" i="5"/>
  <c r="K4" i="6" l="1"/>
  <c r="L4" i="6" s="1"/>
  <c r="M4" i="6" s="1"/>
  <c r="H13" i="6"/>
  <c r="K10" i="6"/>
  <c r="L10" i="6" s="1"/>
  <c r="M10" i="6" s="1"/>
  <c r="K7" i="6"/>
  <c r="L7" i="6" s="1"/>
  <c r="M7" i="6" s="1"/>
  <c r="I2" i="6"/>
  <c r="K8" i="6"/>
  <c r="L8" i="6" s="1"/>
  <c r="M8" i="6" s="1"/>
  <c r="K12" i="6"/>
  <c r="L12" i="6" s="1"/>
  <c r="M12" i="6" s="1"/>
  <c r="I3" i="6"/>
  <c r="B8" i="5"/>
  <c r="B8" i="3"/>
  <c r="B16" i="3"/>
  <c r="B7" i="3"/>
  <c r="B6" i="3"/>
  <c r="J2" i="2" l="1"/>
  <c r="J13" i="2"/>
  <c r="K13" i="2"/>
  <c r="L13" i="2" s="1"/>
  <c r="M13" i="2" s="1"/>
  <c r="I13" i="2"/>
  <c r="J3" i="2"/>
  <c r="J4" i="2"/>
  <c r="J5" i="2"/>
  <c r="K5" i="2" s="1"/>
  <c r="L5" i="2" s="1"/>
  <c r="M5" i="2" s="1"/>
  <c r="J6" i="2"/>
  <c r="J7" i="2"/>
  <c r="J8" i="2"/>
  <c r="J9" i="2"/>
  <c r="J10" i="2"/>
  <c r="J11" i="2"/>
  <c r="J12" i="2"/>
  <c r="I3" i="2"/>
  <c r="I4" i="2"/>
  <c r="I6" i="2"/>
  <c r="I7" i="2"/>
  <c r="I8" i="2"/>
  <c r="K8" i="2" s="1"/>
  <c r="L8" i="2" s="1"/>
  <c r="M8" i="2" s="1"/>
  <c r="I9" i="2"/>
  <c r="I10" i="2"/>
  <c r="K10" i="2" s="1"/>
  <c r="L10" i="2" s="1"/>
  <c r="M10" i="2" s="1"/>
  <c r="I11" i="2"/>
  <c r="I12" i="2"/>
  <c r="I2" i="2"/>
  <c r="K2" i="2" s="1"/>
  <c r="L2" i="2" s="1"/>
  <c r="M2" i="2" s="1"/>
  <c r="K9" i="2" l="1"/>
  <c r="L9" i="2" s="1"/>
  <c r="M9" i="2" s="1"/>
  <c r="K11" i="2"/>
  <c r="L11" i="2" s="1"/>
  <c r="M11" i="2" s="1"/>
  <c r="K7" i="2"/>
  <c r="L7" i="2" s="1"/>
  <c r="M7" i="2" s="1"/>
  <c r="K4" i="2"/>
  <c r="L4" i="2" s="1"/>
  <c r="M4" i="2" s="1"/>
  <c r="K6" i="2"/>
  <c r="L6" i="2" s="1"/>
  <c r="M6" i="2" s="1"/>
  <c r="K12" i="2"/>
  <c r="L12" i="2" s="1"/>
  <c r="M12" i="2" s="1"/>
  <c r="K3" i="2"/>
  <c r="L3" i="2" s="1"/>
  <c r="M3" i="2" s="1"/>
  <c r="H13" i="2"/>
</calcChain>
</file>

<file path=xl/sharedStrings.xml><?xml version="1.0" encoding="utf-8"?>
<sst xmlns="http://schemas.openxmlformats.org/spreadsheetml/2006/main" count="174" uniqueCount="80">
  <si>
    <t xml:space="preserve">kg CO2/passsenger km </t>
  </si>
  <si>
    <t>Unit</t>
  </si>
  <si>
    <t>Base value</t>
  </si>
  <si>
    <t>Parameter</t>
  </si>
  <si>
    <t>E_Conv_Bus</t>
  </si>
  <si>
    <t>Gasoline</t>
  </si>
  <si>
    <t>Diesel</t>
  </si>
  <si>
    <t>Energy Source</t>
  </si>
  <si>
    <t>Vehicle Model</t>
  </si>
  <si>
    <t>Volkswagen Passat 2.0 TSI</t>
  </si>
  <si>
    <t>Mercedes-Benz C 300 d</t>
  </si>
  <si>
    <t>CNG</t>
  </si>
  <si>
    <t>Audi A4 40 g-tron</t>
  </si>
  <si>
    <t>CBG</t>
  </si>
  <si>
    <t>H2</t>
  </si>
  <si>
    <t>Toyota Mirai</t>
  </si>
  <si>
    <t>Gasoline PHEV Conv.</t>
  </si>
  <si>
    <t>Volkswagen Passat GTE</t>
  </si>
  <si>
    <t>Gasoline PHEV Renew.</t>
  </si>
  <si>
    <t>Diesel PHEV Conv.</t>
  </si>
  <si>
    <t>Mercedes-Benz C 300 de</t>
  </si>
  <si>
    <t>Diesel PHEV Renew.</t>
  </si>
  <si>
    <t>BEV Conv.</t>
  </si>
  <si>
    <t>Tesla Model 3 Standard Plus</t>
  </si>
  <si>
    <t>BEV Renew.</t>
  </si>
  <si>
    <t>Peak Motor Power (kW)</t>
  </si>
  <si>
    <t>Curb Weight (kg)</t>
  </si>
  <si>
    <t>Fuel Consumption (L/100 km or kg/100 km)</t>
  </si>
  <si>
    <t>Electricity Consumption (kWh/100 km)</t>
  </si>
  <si>
    <t>Battery Gross Capacity (kWh)</t>
  </si>
  <si>
    <t>Total CO₂-eq. (kg)</t>
  </si>
  <si>
    <t>Production Emissions (kg Co2 Eq)</t>
  </si>
  <si>
    <t>Recycling Emissions (kg Co2 Eq)</t>
  </si>
  <si>
    <t>Utilization Emissions (kg Co2 Eq)</t>
  </si>
  <si>
    <t>Utilization Emissions (kg Co2 Eq per km)</t>
  </si>
  <si>
    <t>Bus</t>
  </si>
  <si>
    <t>Approx. per Passenger km</t>
  </si>
  <si>
    <t>Abhängig vom Gewicht des Busses</t>
  </si>
  <si>
    <t>Abhängig vom Verbrauch des Busses</t>
  </si>
  <si>
    <t>Abhängig von der Gesamtleistung (in 100 km) des Busses</t>
  </si>
  <si>
    <t>Fleet_Munich</t>
  </si>
  <si>
    <t>https://stadt.muenchen.de/dam/jcr:08c1aecc-5191-4824-9f80-1c8c381c47e1/jt230705.pdf</t>
  </si>
  <si>
    <t>Proportion_Gasoline</t>
  </si>
  <si>
    <t>Proportion_Diesel</t>
  </si>
  <si>
    <t>Proportion_BEV</t>
  </si>
  <si>
    <t>Emissionfactor_Gasoline</t>
  </si>
  <si>
    <t>Emissionfactor_Diesel</t>
  </si>
  <si>
    <t>-</t>
  </si>
  <si>
    <t>Consumption_Gasoline</t>
  </si>
  <si>
    <t>Consumption_Diesel</t>
  </si>
  <si>
    <t>Consumption_BEV</t>
  </si>
  <si>
    <t>Occupancy_Rate_conv</t>
  </si>
  <si>
    <t>Occupancy_Rate_SAEV</t>
  </si>
  <si>
    <t>kg CO2 -eq. /L</t>
  </si>
  <si>
    <t>kg CO2 -eq. /kWh</t>
  </si>
  <si>
    <t>Buberger (2020)</t>
  </si>
  <si>
    <t>Source</t>
  </si>
  <si>
    <t>L/km</t>
  </si>
  <si>
    <t>kWh/km</t>
  </si>
  <si>
    <t>Emissionfactor_BEV_conv</t>
  </si>
  <si>
    <t>Emissionfactor_BEV_renew</t>
  </si>
  <si>
    <t>Bösch</t>
  </si>
  <si>
    <t>https://www.umweltbundesamt.de/bild/vergleich-der-durchschnittlichen-emissionen-0</t>
  </si>
  <si>
    <t>Occupancy_Rate_AEV</t>
  </si>
  <si>
    <t>same as Conv</t>
  </si>
  <si>
    <t>https://www.umweltbundesamt.de/sites/default/files/medien/11850/publikationen/23_2024_cc_strommix_07_2024.pdf</t>
  </si>
  <si>
    <t>https://www.seattletimes.com/seattle-news/data/seattles-car-population-has-finally-peaked/</t>
  </si>
  <si>
    <t>Fleet_Seattle</t>
  </si>
  <si>
    <t>kg CO2 -eq. /gallon</t>
  </si>
  <si>
    <t>kg CO2/passsenger mile</t>
  </si>
  <si>
    <t>https://www.epa.gov/system/files/documents/2025-01/ghg-emission-factors-hub-2025.pdf</t>
  </si>
  <si>
    <t>Gallons/mile</t>
  </si>
  <si>
    <t>2012 Toyota Camry Hybrid LE 2.5 L, 4 cyl, Automatic (variable gear ratios), Regular Gasoline</t>
  </si>
  <si>
    <t>L/gallon</t>
  </si>
  <si>
    <t>km/mile</t>
  </si>
  <si>
    <t>Conversionrate_l_g</t>
  </si>
  <si>
    <t>Conversionrate_k_m</t>
  </si>
  <si>
    <t>https://fueleconomy.gov/feg/Find.do?action=sbs&amp;id=46835</t>
  </si>
  <si>
    <t>2024 Chevrolet Silverado 4WD</t>
  </si>
  <si>
    <t>2019 Toyota Camry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</si>
</sst>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206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1" fontId="0" fillId="0" borderId="0" xfId="0" applyNumberFormat="1"/>
    <xf numFmtId="165" fontId="0" fillId="0" borderId="0" xfId="0" applyNumberFormat="1"/>
    <xf numFmtId="0" fontId="0" fillId="5" borderId="0" xfId="0" applyFill="1" applyAlignment="1">
      <alignment vertical="center" wrapText="1"/>
    </xf>
    <xf numFmtId="0" fontId="0" fillId="4" borderId="0" xfId="0" applyFill="1"/>
    <xf numFmtId="0" fontId="3" fillId="6" borderId="0" xfId="0" applyFont="1" applyFill="1" applyAlignment="1">
      <alignment horizontal="center" vertical="center" wrapText="1"/>
    </xf>
    <xf numFmtId="164" fontId="2" fillId="0" borderId="0" xfId="0" applyNumberFormat="1" applyFont="1"/>
    <xf numFmtId="0" fontId="1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vertical="center" wrapText="1"/>
    </xf>
    <xf numFmtId="1" fontId="7" fillId="0" borderId="0" xfId="0" applyNumberFormat="1" applyFont="1"/>
    <xf numFmtId="165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dt.muenchen.de/dam/jcr:08c1aecc-5191-4824-9f80-1c8c381c47e1/jt230705.pdf" TargetMode="External"/><Relationship Id="rId2" Type="http://schemas.openxmlformats.org/officeDocument/2006/relationships/hyperlink" Target="https://www.umweltbundesamt.de/bild/vergleich-der-durchschnittlichen-emissionen-0" TargetMode="External"/><Relationship Id="rId1" Type="http://schemas.openxmlformats.org/officeDocument/2006/relationships/hyperlink" Target="https://www.umweltbundesamt.de/sites/default/files/medien/11850/publikationen/23_2024_cc_strommix_07_2024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umweltbundesamt.de/bild/vergleich-der-durchschnittlichen-emissionen-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fueleconomy.gov/feg/Find.do?action=sbs&amp;id=46835" TargetMode="External"/><Relationship Id="rId2" Type="http://schemas.openxmlformats.org/officeDocument/2006/relationships/hyperlink" Target="https://fueleconomy.gov/feg/Find.do?action=sbs&amp;id=32092" TargetMode="External"/><Relationship Id="rId1" Type="http://schemas.openxmlformats.org/officeDocument/2006/relationships/hyperlink" Target="https://www.umweltbundesamt.de/bild/vergleich-der-durchschnittlichen-emissionen-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D11-6B57-4E7F-8830-D41C677AE9F5}">
  <dimension ref="A1:M14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24" customWidth="1"/>
    <col min="2" max="2" width="23.7109375" bestFit="1" customWidth="1"/>
    <col min="3" max="7" width="24" customWidth="1"/>
    <col min="8" max="8" width="16.7109375" bestFit="1" customWidth="1"/>
    <col min="9" max="9" width="20.140625" bestFit="1" customWidth="1"/>
    <col min="10" max="10" width="18.7109375" bestFit="1" customWidth="1"/>
    <col min="11" max="11" width="30.28515625" bestFit="1" customWidth="1"/>
    <col min="12" max="12" width="37" bestFit="1" customWidth="1"/>
    <col min="13" max="13" width="12" bestFit="1" customWidth="1"/>
  </cols>
  <sheetData>
    <row r="1" spans="1:13" ht="27.75" customHeight="1" x14ac:dyDescent="0.25">
      <c r="A1" s="3" t="s">
        <v>7</v>
      </c>
      <c r="B1" s="3" t="s">
        <v>8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9" t="s">
        <v>36</v>
      </c>
    </row>
    <row r="2" spans="1:13" ht="14.25" customHeight="1" x14ac:dyDescent="0.25">
      <c r="A2" s="7" t="s">
        <v>5</v>
      </c>
      <c r="B2" s="2" t="s">
        <v>9</v>
      </c>
      <c r="C2" s="2">
        <v>206</v>
      </c>
      <c r="D2" s="2">
        <v>1653</v>
      </c>
      <c r="E2" s="2">
        <v>7.2</v>
      </c>
      <c r="F2" s="2">
        <v>0</v>
      </c>
      <c r="G2" s="2">
        <v>0</v>
      </c>
      <c r="H2" s="2">
        <v>49559</v>
      </c>
      <c r="I2" s="5">
        <f>4.56*D2+83.5*G2</f>
        <v>7537.6799999999994</v>
      </c>
      <c r="J2" s="5">
        <f>-2.93*D2-48.4*G2</f>
        <v>-4843.29</v>
      </c>
      <c r="K2" s="5">
        <f>H2-I2-J2</f>
        <v>46864.61</v>
      </c>
      <c r="L2" s="6">
        <f>K2/230000</f>
        <v>0.20375917391304349</v>
      </c>
      <c r="M2" s="6">
        <f>L2/2</f>
        <v>0.10187958695652174</v>
      </c>
    </row>
    <row r="3" spans="1:13" ht="14.25" customHeight="1" x14ac:dyDescent="0.25">
      <c r="A3" s="7" t="s">
        <v>6</v>
      </c>
      <c r="B3" s="2" t="s">
        <v>10</v>
      </c>
      <c r="C3" s="2">
        <v>180</v>
      </c>
      <c r="D3" s="2">
        <v>1635</v>
      </c>
      <c r="E3" s="2">
        <v>4.9000000000000004</v>
      </c>
      <c r="F3" s="2">
        <v>0</v>
      </c>
      <c r="G3" s="2">
        <v>0</v>
      </c>
      <c r="H3" s="2">
        <v>38504</v>
      </c>
      <c r="I3" s="5">
        <f t="shared" ref="I3:I13" si="0">4.56*D3+83.5*G3</f>
        <v>7455.5999999999995</v>
      </c>
      <c r="J3" s="5">
        <f t="shared" ref="J3:J12" si="1">-2.93*D3-48.4*G3</f>
        <v>-4790.55</v>
      </c>
      <c r="K3" s="5">
        <f t="shared" ref="K3:K12" si="2">H3-I3-J3</f>
        <v>35838.950000000004</v>
      </c>
      <c r="L3" s="6">
        <f t="shared" ref="L3:L12" si="3">K3/230000</f>
        <v>0.15582152173913044</v>
      </c>
      <c r="M3" s="6">
        <f t="shared" ref="M3:M12" si="4">L3/2</f>
        <v>7.7910760869565221E-2</v>
      </c>
    </row>
    <row r="4" spans="1:13" ht="14.25" customHeight="1" x14ac:dyDescent="0.25">
      <c r="A4" s="2" t="s">
        <v>11</v>
      </c>
      <c r="B4" s="2" t="s">
        <v>12</v>
      </c>
      <c r="C4" s="2">
        <v>125</v>
      </c>
      <c r="D4" s="2">
        <v>1665</v>
      </c>
      <c r="E4" s="2">
        <v>3.9</v>
      </c>
      <c r="F4" s="2">
        <v>0</v>
      </c>
      <c r="G4" s="2">
        <v>0</v>
      </c>
      <c r="H4" s="2">
        <v>26754</v>
      </c>
      <c r="I4" s="5">
        <f t="shared" si="0"/>
        <v>7592.4</v>
      </c>
      <c r="J4" s="5">
        <f t="shared" si="1"/>
        <v>-4878.45</v>
      </c>
      <c r="K4" s="5">
        <f t="shared" si="2"/>
        <v>24040.05</v>
      </c>
      <c r="L4" s="6">
        <f t="shared" si="3"/>
        <v>0.10452195652173912</v>
      </c>
      <c r="M4" s="6">
        <f t="shared" si="4"/>
        <v>5.2260978260869562E-2</v>
      </c>
    </row>
    <row r="5" spans="1:13" ht="14.25" customHeight="1" x14ac:dyDescent="0.25">
      <c r="A5" s="2" t="s">
        <v>13</v>
      </c>
      <c r="B5" s="2" t="s">
        <v>12</v>
      </c>
      <c r="C5" s="2">
        <v>125</v>
      </c>
      <c r="D5" s="2">
        <v>1665</v>
      </c>
      <c r="E5" s="2">
        <v>3.9</v>
      </c>
      <c r="F5" s="2">
        <v>0</v>
      </c>
      <c r="G5" s="2">
        <v>0</v>
      </c>
      <c r="H5" s="2">
        <v>9432</v>
      </c>
      <c r="I5" s="5">
        <f>4.56*D5+83.5*G5</f>
        <v>7592.4</v>
      </c>
      <c r="J5" s="5">
        <f t="shared" si="1"/>
        <v>-4878.45</v>
      </c>
      <c r="K5" s="5">
        <f t="shared" si="2"/>
        <v>6718.05</v>
      </c>
      <c r="L5" s="6">
        <f t="shared" si="3"/>
        <v>2.9208913043478262E-2</v>
      </c>
      <c r="M5" s="6">
        <f t="shared" si="4"/>
        <v>1.4604456521739131E-2</v>
      </c>
    </row>
    <row r="6" spans="1:13" ht="14.25" customHeight="1" x14ac:dyDescent="0.25">
      <c r="A6" s="2" t="s">
        <v>14</v>
      </c>
      <c r="B6" s="2" t="s">
        <v>15</v>
      </c>
      <c r="C6" s="2">
        <v>135</v>
      </c>
      <c r="D6" s="2">
        <v>1900</v>
      </c>
      <c r="E6" s="2">
        <v>0.79</v>
      </c>
      <c r="F6" s="2">
        <v>0</v>
      </c>
      <c r="G6" s="2">
        <v>2</v>
      </c>
      <c r="H6" s="2">
        <v>19740</v>
      </c>
      <c r="I6" s="5">
        <f t="shared" si="0"/>
        <v>8831</v>
      </c>
      <c r="J6" s="5">
        <f t="shared" si="1"/>
        <v>-5663.8</v>
      </c>
      <c r="K6" s="5">
        <f>H6-I6-J6</f>
        <v>16572.8</v>
      </c>
      <c r="L6" s="6">
        <f t="shared" si="3"/>
        <v>7.2055652173913035E-2</v>
      </c>
      <c r="M6" s="6">
        <f t="shared" si="4"/>
        <v>3.6027826086956517E-2</v>
      </c>
    </row>
    <row r="7" spans="1:13" ht="14.25" customHeight="1" x14ac:dyDescent="0.25">
      <c r="A7" s="2" t="s">
        <v>16</v>
      </c>
      <c r="B7" s="2" t="s">
        <v>17</v>
      </c>
      <c r="C7" s="2">
        <v>160</v>
      </c>
      <c r="D7" s="2">
        <v>1730</v>
      </c>
      <c r="E7" s="2">
        <v>1.4</v>
      </c>
      <c r="F7" s="2">
        <v>11.5</v>
      </c>
      <c r="G7" s="2">
        <v>13</v>
      </c>
      <c r="H7" s="2">
        <v>22889</v>
      </c>
      <c r="I7" s="5">
        <f t="shared" si="0"/>
        <v>8974.2999999999993</v>
      </c>
      <c r="J7" s="5">
        <f t="shared" si="1"/>
        <v>-5698.1</v>
      </c>
      <c r="K7" s="5">
        <f t="shared" si="2"/>
        <v>19612.800000000003</v>
      </c>
      <c r="L7" s="6">
        <f t="shared" si="3"/>
        <v>8.5273043478260882E-2</v>
      </c>
      <c r="M7" s="6">
        <f t="shared" si="4"/>
        <v>4.2636521739130441E-2</v>
      </c>
    </row>
    <row r="8" spans="1:13" ht="14.25" customHeight="1" x14ac:dyDescent="0.25">
      <c r="A8" s="2" t="s">
        <v>18</v>
      </c>
      <c r="B8" s="2" t="s">
        <v>17</v>
      </c>
      <c r="C8" s="2">
        <v>160</v>
      </c>
      <c r="D8" s="2">
        <v>1730</v>
      </c>
      <c r="E8" s="2">
        <v>1.4</v>
      </c>
      <c r="F8" s="2">
        <v>11.5</v>
      </c>
      <c r="G8" s="2">
        <v>13</v>
      </c>
      <c r="H8" s="2">
        <v>13235</v>
      </c>
      <c r="I8" s="5">
        <f t="shared" si="0"/>
        <v>8974.2999999999993</v>
      </c>
      <c r="J8" s="5">
        <f t="shared" si="1"/>
        <v>-5698.1</v>
      </c>
      <c r="K8" s="5">
        <f t="shared" si="2"/>
        <v>9958.8000000000011</v>
      </c>
      <c r="L8" s="6">
        <f t="shared" si="3"/>
        <v>4.3299130434782611E-2</v>
      </c>
      <c r="M8" s="6">
        <f t="shared" si="4"/>
        <v>2.1649565217391305E-2</v>
      </c>
    </row>
    <row r="9" spans="1:13" ht="14.25" customHeight="1" x14ac:dyDescent="0.25">
      <c r="A9" s="2" t="s">
        <v>19</v>
      </c>
      <c r="B9" s="2" t="s">
        <v>20</v>
      </c>
      <c r="C9" s="2">
        <v>225</v>
      </c>
      <c r="D9" s="2">
        <v>2060</v>
      </c>
      <c r="E9" s="2">
        <v>1.4</v>
      </c>
      <c r="F9" s="2">
        <v>18.7</v>
      </c>
      <c r="G9" s="2">
        <v>13.5</v>
      </c>
      <c r="H9" s="2">
        <v>31208</v>
      </c>
      <c r="I9" s="5">
        <f t="shared" si="0"/>
        <v>10520.849999999999</v>
      </c>
      <c r="J9" s="5">
        <f t="shared" si="1"/>
        <v>-6689.2</v>
      </c>
      <c r="K9" s="5">
        <f t="shared" si="2"/>
        <v>27376.350000000002</v>
      </c>
      <c r="L9" s="6">
        <f t="shared" si="3"/>
        <v>0.11902760869565218</v>
      </c>
      <c r="M9" s="6">
        <f t="shared" si="4"/>
        <v>5.9513804347826091E-2</v>
      </c>
    </row>
    <row r="10" spans="1:13" ht="14.25" customHeight="1" x14ac:dyDescent="0.25">
      <c r="A10" s="2" t="s">
        <v>21</v>
      </c>
      <c r="B10" s="2" t="s">
        <v>20</v>
      </c>
      <c r="C10" s="2">
        <v>225</v>
      </c>
      <c r="D10" s="2">
        <v>2060</v>
      </c>
      <c r="E10" s="2">
        <v>1.4</v>
      </c>
      <c r="F10" s="2">
        <v>18.7</v>
      </c>
      <c r="G10" s="2">
        <v>13.5</v>
      </c>
      <c r="H10" s="2">
        <v>15510</v>
      </c>
      <c r="I10" s="5">
        <f t="shared" si="0"/>
        <v>10520.849999999999</v>
      </c>
      <c r="J10" s="5">
        <f t="shared" si="1"/>
        <v>-6689.2</v>
      </c>
      <c r="K10" s="5">
        <f t="shared" si="2"/>
        <v>11678.350000000002</v>
      </c>
      <c r="L10" s="6">
        <f t="shared" si="3"/>
        <v>5.0775434782608708E-2</v>
      </c>
      <c r="M10" s="6">
        <f t="shared" si="4"/>
        <v>2.5387717391304354E-2</v>
      </c>
    </row>
    <row r="11" spans="1:13" ht="14.25" customHeight="1" x14ac:dyDescent="0.25">
      <c r="A11" s="7" t="s">
        <v>22</v>
      </c>
      <c r="B11" s="2" t="s">
        <v>23</v>
      </c>
      <c r="C11" s="2">
        <v>239</v>
      </c>
      <c r="D11" s="2">
        <v>1684</v>
      </c>
      <c r="E11" s="2">
        <v>0</v>
      </c>
      <c r="F11" s="2">
        <v>14.3</v>
      </c>
      <c r="G11" s="2">
        <v>58</v>
      </c>
      <c r="H11" s="2">
        <v>17497</v>
      </c>
      <c r="I11" s="5">
        <f t="shared" si="0"/>
        <v>12522.039999999999</v>
      </c>
      <c r="J11" s="5">
        <f t="shared" si="1"/>
        <v>-7741.32</v>
      </c>
      <c r="K11" s="5">
        <f t="shared" si="2"/>
        <v>12716.28</v>
      </c>
      <c r="L11" s="6">
        <f t="shared" si="3"/>
        <v>5.5288173913043484E-2</v>
      </c>
      <c r="M11" s="6">
        <f t="shared" si="4"/>
        <v>2.7644086956521742E-2</v>
      </c>
    </row>
    <row r="12" spans="1:13" ht="14.25" customHeight="1" x14ac:dyDescent="0.25">
      <c r="A12" s="2" t="s">
        <v>24</v>
      </c>
      <c r="B12" s="2" t="s">
        <v>23</v>
      </c>
      <c r="C12" s="2">
        <v>239</v>
      </c>
      <c r="D12" s="2">
        <v>1684</v>
      </c>
      <c r="E12" s="2">
        <v>0</v>
      </c>
      <c r="F12" s="2">
        <v>14.3</v>
      </c>
      <c r="G12" s="2">
        <v>58</v>
      </c>
      <c r="H12" s="2">
        <v>5492</v>
      </c>
      <c r="I12" s="5">
        <f t="shared" si="0"/>
        <v>12522.039999999999</v>
      </c>
      <c r="J12" s="5">
        <f t="shared" si="1"/>
        <v>-7741.32</v>
      </c>
      <c r="K12" s="5">
        <f t="shared" si="2"/>
        <v>711.28000000000065</v>
      </c>
      <c r="L12" s="6">
        <f t="shared" si="3"/>
        <v>3.0925217391304378E-3</v>
      </c>
      <c r="M12" s="6">
        <f t="shared" si="4"/>
        <v>1.5462608695652189E-3</v>
      </c>
    </row>
    <row r="13" spans="1:13" ht="14.25" customHeight="1" x14ac:dyDescent="0.25">
      <c r="A13" s="7" t="s">
        <v>6</v>
      </c>
      <c r="B13" s="2" t="s">
        <v>35</v>
      </c>
      <c r="C13" s="2">
        <v>0</v>
      </c>
      <c r="D13" s="4">
        <v>14000</v>
      </c>
      <c r="E13" s="4">
        <v>25</v>
      </c>
      <c r="F13" s="2">
        <v>0</v>
      </c>
      <c r="G13" s="2">
        <v>0</v>
      </c>
      <c r="H13">
        <f>I13+J13+K13</f>
        <v>658820</v>
      </c>
      <c r="I13">
        <f t="shared" si="0"/>
        <v>63839.999999999993</v>
      </c>
      <c r="J13">
        <f>-2.93*D13-48.4*G13</f>
        <v>-41020</v>
      </c>
      <c r="K13" s="8">
        <f>3.18*E13*8000</f>
        <v>636000</v>
      </c>
      <c r="L13" s="6">
        <f>K13/800000</f>
        <v>0.79500000000000004</v>
      </c>
      <c r="M13" s="6">
        <f>L13/10</f>
        <v>7.9500000000000001E-2</v>
      </c>
    </row>
    <row r="14" spans="1:13" x14ac:dyDescent="0.25">
      <c r="D14" t="s">
        <v>37</v>
      </c>
      <c r="E14" t="s">
        <v>38</v>
      </c>
      <c r="K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9D5F-4A91-46C9-8ABA-BDF64C948DE6}">
  <dimension ref="A1:D21"/>
  <sheetViews>
    <sheetView workbookViewId="0">
      <selection activeCell="B21" sqref="B21"/>
    </sheetView>
  </sheetViews>
  <sheetFormatPr defaultRowHeight="15" x14ac:dyDescent="0.25"/>
  <cols>
    <col min="1" max="1" width="34.85546875" customWidth="1"/>
    <col min="2" max="2" width="31.85546875" customWidth="1"/>
    <col min="3" max="3" width="22.7109375" bestFit="1" customWidth="1"/>
    <col min="4" max="4" width="12" bestFit="1" customWidth="1"/>
  </cols>
  <sheetData>
    <row r="1" spans="1:4" x14ac:dyDescent="0.25">
      <c r="A1" s="1" t="s">
        <v>3</v>
      </c>
      <c r="B1" t="s">
        <v>2</v>
      </c>
      <c r="C1" s="1" t="s">
        <v>1</v>
      </c>
      <c r="D1" t="s">
        <v>56</v>
      </c>
    </row>
    <row r="2" spans="1:4" x14ac:dyDescent="0.25">
      <c r="A2" t="s">
        <v>40</v>
      </c>
      <c r="B2">
        <v>753851</v>
      </c>
      <c r="C2" t="s">
        <v>47</v>
      </c>
      <c r="D2" s="13" t="s">
        <v>41</v>
      </c>
    </row>
    <row r="3" spans="1:4" x14ac:dyDescent="0.25">
      <c r="A3" t="s">
        <v>42</v>
      </c>
      <c r="B3" s="12">
        <v>0.62</v>
      </c>
      <c r="C3" s="11" t="s">
        <v>47</v>
      </c>
    </row>
    <row r="4" spans="1:4" x14ac:dyDescent="0.25">
      <c r="A4" t="s">
        <v>43</v>
      </c>
      <c r="B4" s="12">
        <v>0.28999999999999998</v>
      </c>
      <c r="C4" s="11" t="s">
        <v>47</v>
      </c>
    </row>
    <row r="5" spans="1:4" x14ac:dyDescent="0.25">
      <c r="A5" t="s">
        <v>44</v>
      </c>
      <c r="B5" s="12">
        <v>0.09</v>
      </c>
      <c r="C5" s="11" t="s">
        <v>47</v>
      </c>
    </row>
    <row r="6" spans="1:4" x14ac:dyDescent="0.25">
      <c r="A6" t="s">
        <v>48</v>
      </c>
      <c r="B6" s="12">
        <f>7.2/100</f>
        <v>7.2000000000000008E-2</v>
      </c>
      <c r="C6" s="11" t="s">
        <v>57</v>
      </c>
      <c r="D6" t="s">
        <v>55</v>
      </c>
    </row>
    <row r="7" spans="1:4" x14ac:dyDescent="0.25">
      <c r="A7" t="s">
        <v>49</v>
      </c>
      <c r="B7">
        <f>4.9/100</f>
        <v>4.9000000000000002E-2</v>
      </c>
      <c r="C7" s="11" t="s">
        <v>57</v>
      </c>
      <c r="D7" t="s">
        <v>55</v>
      </c>
    </row>
    <row r="8" spans="1:4" x14ac:dyDescent="0.25">
      <c r="A8" t="s">
        <v>50</v>
      </c>
      <c r="B8">
        <f>14.3/100</f>
        <v>0.14300000000000002</v>
      </c>
      <c r="C8" s="11" t="s">
        <v>58</v>
      </c>
      <c r="D8" t="s">
        <v>55</v>
      </c>
    </row>
    <row r="9" spans="1:4" x14ac:dyDescent="0.25">
      <c r="A9" t="s">
        <v>45</v>
      </c>
      <c r="B9" s="12">
        <v>2.83</v>
      </c>
      <c r="C9" s="11" t="s">
        <v>53</v>
      </c>
      <c r="D9" t="s">
        <v>55</v>
      </c>
    </row>
    <row r="10" spans="1:4" x14ac:dyDescent="0.25">
      <c r="A10" t="s">
        <v>46</v>
      </c>
      <c r="B10" s="12">
        <v>3.18</v>
      </c>
      <c r="C10" s="11" t="s">
        <v>53</v>
      </c>
      <c r="D10" t="s">
        <v>55</v>
      </c>
    </row>
    <row r="11" spans="1:4" x14ac:dyDescent="0.25">
      <c r="A11" t="s">
        <v>59</v>
      </c>
      <c r="B11" s="12">
        <v>0.38</v>
      </c>
      <c r="C11" s="11" t="s">
        <v>54</v>
      </c>
      <c r="D11" s="13" t="s">
        <v>65</v>
      </c>
    </row>
    <row r="12" spans="1:4" x14ac:dyDescent="0.25">
      <c r="A12" t="s">
        <v>60</v>
      </c>
      <c r="B12" s="12">
        <v>3.5999999999999997E-2</v>
      </c>
      <c r="C12" s="11" t="s">
        <v>54</v>
      </c>
      <c r="D12" t="s">
        <v>55</v>
      </c>
    </row>
    <row r="13" spans="1:4" x14ac:dyDescent="0.25">
      <c r="A13" t="s">
        <v>51</v>
      </c>
      <c r="B13" s="12">
        <v>1.4</v>
      </c>
      <c r="C13" s="11" t="s">
        <v>47</v>
      </c>
      <c r="D13" s="13" t="s">
        <v>62</v>
      </c>
    </row>
    <row r="14" spans="1:4" x14ac:dyDescent="0.25">
      <c r="A14" t="s">
        <v>63</v>
      </c>
      <c r="B14" s="12">
        <v>1.4</v>
      </c>
      <c r="C14" s="11"/>
      <c r="D14" t="s">
        <v>64</v>
      </c>
    </row>
    <row r="15" spans="1:4" x14ac:dyDescent="0.25">
      <c r="A15" t="s">
        <v>52</v>
      </c>
      <c r="B15" s="12">
        <v>2.5</v>
      </c>
      <c r="C15" s="11" t="s">
        <v>47</v>
      </c>
      <c r="D15" t="s">
        <v>61</v>
      </c>
    </row>
    <row r="16" spans="1:4" x14ac:dyDescent="0.25">
      <c r="A16" t="s">
        <v>4</v>
      </c>
      <c r="B16" s="10">
        <f>AVERAGE(0.058,0.093,0.063)</f>
        <v>7.1333333333333332E-2</v>
      </c>
      <c r="C16" s="11" t="s">
        <v>0</v>
      </c>
      <c r="D16" s="13" t="s">
        <v>62</v>
      </c>
    </row>
    <row r="21" spans="2:2" x14ac:dyDescent="0.25">
      <c r="B21">
        <f>B6*B9</f>
        <v>0.20376000000000002</v>
      </c>
    </row>
  </sheetData>
  <hyperlinks>
    <hyperlink ref="D11" r:id="rId1" xr:uid="{B85561F4-D9DF-443E-ACDA-098B4905E880}"/>
    <hyperlink ref="D16" r:id="rId2" xr:uid="{EA610C56-AC19-471D-9C69-FE7F005C5B59}"/>
    <hyperlink ref="D2" r:id="rId3" xr:uid="{A54F6D8D-CF32-46DB-9DC6-E185981EF1F8}"/>
    <hyperlink ref="D13" r:id="rId4" xr:uid="{7E2B2966-FFD6-406E-934B-29B3B4217307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03A7-CE4C-49D9-A9E3-64BAD3EF8EA4}">
  <dimension ref="A1:M14"/>
  <sheetViews>
    <sheetView workbookViewId="0">
      <pane ySplit="1" topLeftCell="A2" activePane="bottomLeft" state="frozen"/>
      <selection pane="bottomLeft" activeCell="A14" sqref="A14:XFD16"/>
    </sheetView>
  </sheetViews>
  <sheetFormatPr defaultRowHeight="15" x14ac:dyDescent="0.25"/>
  <cols>
    <col min="1" max="1" width="24" customWidth="1"/>
    <col min="2" max="2" width="23.7109375" bestFit="1" customWidth="1"/>
    <col min="3" max="7" width="24" customWidth="1"/>
    <col min="8" max="8" width="16.7109375" bestFit="1" customWidth="1"/>
    <col min="9" max="9" width="20.140625" bestFit="1" customWidth="1"/>
    <col min="10" max="10" width="18.7109375" bestFit="1" customWidth="1"/>
    <col min="11" max="11" width="30.28515625" bestFit="1" customWidth="1"/>
    <col min="12" max="12" width="37" bestFit="1" customWidth="1"/>
    <col min="13" max="13" width="12" bestFit="1" customWidth="1"/>
  </cols>
  <sheetData>
    <row r="1" spans="1:13" ht="27.75" customHeight="1" x14ac:dyDescent="0.25">
      <c r="A1" s="3" t="s">
        <v>7</v>
      </c>
      <c r="B1" s="3" t="s">
        <v>8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9" t="s">
        <v>36</v>
      </c>
    </row>
    <row r="2" spans="1:13" ht="14.25" customHeight="1" x14ac:dyDescent="0.25">
      <c r="A2" s="7" t="s">
        <v>5</v>
      </c>
      <c r="B2" s="2" t="s">
        <v>79</v>
      </c>
      <c r="C2" s="2"/>
      <c r="D2" s="17">
        <f>3340*0.45359237</f>
        <v>1514.9985158000002</v>
      </c>
      <c r="E2" s="4"/>
      <c r="F2" s="2">
        <v>0</v>
      </c>
      <c r="G2" s="2">
        <v>0</v>
      </c>
      <c r="I2" s="5">
        <f>4.56*D2+83.5*G2</f>
        <v>6908.3932320479998</v>
      </c>
      <c r="J2" s="5">
        <f>-2.93*D2-48.4*G2</f>
        <v>-4438.9456512940005</v>
      </c>
      <c r="K2" s="8"/>
      <c r="L2" s="6"/>
      <c r="M2" s="6"/>
    </row>
    <row r="3" spans="1:13" ht="14.25" customHeight="1" x14ac:dyDescent="0.25">
      <c r="A3" s="7" t="s">
        <v>6</v>
      </c>
      <c r="B3" s="17" t="s">
        <v>78</v>
      </c>
      <c r="C3" s="17"/>
      <c r="D3" s="17">
        <f>5080*0.45359237</f>
        <v>2304.2492396000002</v>
      </c>
      <c r="E3" s="17"/>
      <c r="F3" s="17">
        <v>0</v>
      </c>
      <c r="G3" s="17">
        <v>0</v>
      </c>
      <c r="H3" s="17"/>
      <c r="I3" s="18">
        <f>4.56*D3+83.5*G3</f>
        <v>10507.376532576</v>
      </c>
      <c r="J3" s="18">
        <f>-2.93*D3-48.4*G3</f>
        <v>-6751.4502720280007</v>
      </c>
      <c r="K3" s="18"/>
      <c r="L3" s="19"/>
      <c r="M3" s="19"/>
    </row>
    <row r="4" spans="1:13" ht="14.25" customHeight="1" x14ac:dyDescent="0.25">
      <c r="A4" s="2" t="s">
        <v>11</v>
      </c>
      <c r="B4" s="2" t="s">
        <v>12</v>
      </c>
      <c r="C4" s="2">
        <v>125</v>
      </c>
      <c r="D4" s="2">
        <v>1665</v>
      </c>
      <c r="E4" s="2">
        <v>3.9</v>
      </c>
      <c r="F4" s="2">
        <v>0</v>
      </c>
      <c r="G4" s="2">
        <v>0</v>
      </c>
      <c r="H4" s="2">
        <v>26754</v>
      </c>
      <c r="I4" s="5">
        <f t="shared" ref="I4:I13" si="0">4.56*D4+83.5*G4</f>
        <v>7592.4</v>
      </c>
      <c r="J4" s="5">
        <f t="shared" ref="J4:J12" si="1">-2.93*D4-48.4*G4</f>
        <v>-4878.45</v>
      </c>
      <c r="K4" s="5">
        <f t="shared" ref="K4:K12" si="2">H4-I4-J4</f>
        <v>24040.05</v>
      </c>
      <c r="L4" s="6">
        <f t="shared" ref="L4:L12" si="3">K4/230000</f>
        <v>0.10452195652173912</v>
      </c>
      <c r="M4" s="6">
        <f t="shared" ref="M4:M12" si="4">L4/2</f>
        <v>5.2260978260869562E-2</v>
      </c>
    </row>
    <row r="5" spans="1:13" ht="14.25" customHeight="1" x14ac:dyDescent="0.25">
      <c r="A5" s="2" t="s">
        <v>13</v>
      </c>
      <c r="B5" s="2" t="s">
        <v>12</v>
      </c>
      <c r="C5" s="2">
        <v>125</v>
      </c>
      <c r="D5" s="2">
        <v>1665</v>
      </c>
      <c r="E5" s="2">
        <v>3.9</v>
      </c>
      <c r="F5" s="2">
        <v>0</v>
      </c>
      <c r="G5" s="2">
        <v>0</v>
      </c>
      <c r="H5" s="2">
        <v>9432</v>
      </c>
      <c r="I5" s="5">
        <f>4.56*D5+83.5*G5</f>
        <v>7592.4</v>
      </c>
      <c r="J5" s="5">
        <f t="shared" si="1"/>
        <v>-4878.45</v>
      </c>
      <c r="K5" s="5">
        <f t="shared" si="2"/>
        <v>6718.05</v>
      </c>
      <c r="L5" s="6">
        <f t="shared" si="3"/>
        <v>2.9208913043478262E-2</v>
      </c>
      <c r="M5" s="6">
        <f t="shared" si="4"/>
        <v>1.4604456521739131E-2</v>
      </c>
    </row>
    <row r="6" spans="1:13" ht="14.25" customHeight="1" x14ac:dyDescent="0.25">
      <c r="A6" s="2" t="s">
        <v>14</v>
      </c>
      <c r="B6" s="2" t="s">
        <v>15</v>
      </c>
      <c r="C6" s="2">
        <v>135</v>
      </c>
      <c r="D6" s="2">
        <v>1900</v>
      </c>
      <c r="E6" s="2">
        <v>0.79</v>
      </c>
      <c r="F6" s="2">
        <v>0</v>
      </c>
      <c r="G6" s="2">
        <v>2</v>
      </c>
      <c r="H6" s="2">
        <v>19740</v>
      </c>
      <c r="I6" s="5">
        <f t="shared" si="0"/>
        <v>8831</v>
      </c>
      <c r="J6" s="5">
        <f t="shared" si="1"/>
        <v>-5663.8</v>
      </c>
      <c r="K6" s="5">
        <f>H6-I6-J6</f>
        <v>16572.8</v>
      </c>
      <c r="L6" s="6">
        <f t="shared" si="3"/>
        <v>7.2055652173913035E-2</v>
      </c>
      <c r="M6" s="6">
        <f t="shared" si="4"/>
        <v>3.6027826086956517E-2</v>
      </c>
    </row>
    <row r="7" spans="1:13" ht="14.25" customHeight="1" x14ac:dyDescent="0.25">
      <c r="A7" s="2" t="s">
        <v>16</v>
      </c>
      <c r="B7" s="2" t="s">
        <v>17</v>
      </c>
      <c r="C7" s="2">
        <v>160</v>
      </c>
      <c r="D7" s="2">
        <v>1730</v>
      </c>
      <c r="E7" s="2">
        <v>1.4</v>
      </c>
      <c r="F7" s="2">
        <v>11.5</v>
      </c>
      <c r="G7" s="2">
        <v>13</v>
      </c>
      <c r="H7" s="2">
        <v>22889</v>
      </c>
      <c r="I7" s="5">
        <f t="shared" si="0"/>
        <v>8974.2999999999993</v>
      </c>
      <c r="J7" s="5">
        <f t="shared" si="1"/>
        <v>-5698.1</v>
      </c>
      <c r="K7" s="5">
        <f t="shared" si="2"/>
        <v>19612.800000000003</v>
      </c>
      <c r="L7" s="6">
        <f t="shared" si="3"/>
        <v>8.5273043478260882E-2</v>
      </c>
      <c r="M7" s="6">
        <f t="shared" si="4"/>
        <v>4.2636521739130441E-2</v>
      </c>
    </row>
    <row r="8" spans="1:13" ht="14.25" customHeight="1" x14ac:dyDescent="0.25">
      <c r="A8" s="2" t="s">
        <v>18</v>
      </c>
      <c r="B8" s="2" t="s">
        <v>17</v>
      </c>
      <c r="C8" s="2">
        <v>160</v>
      </c>
      <c r="D8" s="2">
        <v>1730</v>
      </c>
      <c r="E8" s="2">
        <v>1.4</v>
      </c>
      <c r="F8" s="2">
        <v>11.5</v>
      </c>
      <c r="G8" s="2">
        <v>13</v>
      </c>
      <c r="H8" s="2">
        <v>13235</v>
      </c>
      <c r="I8" s="5">
        <f t="shared" si="0"/>
        <v>8974.2999999999993</v>
      </c>
      <c r="J8" s="5">
        <f t="shared" si="1"/>
        <v>-5698.1</v>
      </c>
      <c r="K8" s="5">
        <f t="shared" si="2"/>
        <v>9958.8000000000011</v>
      </c>
      <c r="L8" s="6">
        <f t="shared" si="3"/>
        <v>4.3299130434782611E-2</v>
      </c>
      <c r="M8" s="6">
        <f t="shared" si="4"/>
        <v>2.1649565217391305E-2</v>
      </c>
    </row>
    <row r="9" spans="1:13" ht="14.25" customHeight="1" x14ac:dyDescent="0.25">
      <c r="A9" s="2" t="s">
        <v>19</v>
      </c>
      <c r="B9" s="2" t="s">
        <v>20</v>
      </c>
      <c r="C9" s="2">
        <v>225</v>
      </c>
      <c r="D9" s="2">
        <v>2060</v>
      </c>
      <c r="E9" s="2">
        <v>1.4</v>
      </c>
      <c r="F9" s="2">
        <v>18.7</v>
      </c>
      <c r="G9" s="2">
        <v>13.5</v>
      </c>
      <c r="H9" s="2">
        <v>31208</v>
      </c>
      <c r="I9" s="5">
        <f t="shared" si="0"/>
        <v>10520.849999999999</v>
      </c>
      <c r="J9" s="5">
        <f t="shared" si="1"/>
        <v>-6689.2</v>
      </c>
      <c r="K9" s="5">
        <f t="shared" si="2"/>
        <v>27376.350000000002</v>
      </c>
      <c r="L9" s="6">
        <f t="shared" si="3"/>
        <v>0.11902760869565218</v>
      </c>
      <c r="M9" s="6">
        <f t="shared" si="4"/>
        <v>5.9513804347826091E-2</v>
      </c>
    </row>
    <row r="10" spans="1:13" ht="14.25" customHeight="1" x14ac:dyDescent="0.25">
      <c r="A10" s="2" t="s">
        <v>21</v>
      </c>
      <c r="B10" s="2" t="s">
        <v>20</v>
      </c>
      <c r="C10" s="2">
        <v>225</v>
      </c>
      <c r="D10" s="2">
        <v>2060</v>
      </c>
      <c r="E10" s="2">
        <v>1.4</v>
      </c>
      <c r="F10" s="2">
        <v>18.7</v>
      </c>
      <c r="G10" s="2">
        <v>13.5</v>
      </c>
      <c r="H10" s="2">
        <v>15510</v>
      </c>
      <c r="I10" s="5">
        <f t="shared" si="0"/>
        <v>10520.849999999999</v>
      </c>
      <c r="J10" s="5">
        <f t="shared" si="1"/>
        <v>-6689.2</v>
      </c>
      <c r="K10" s="5">
        <f t="shared" si="2"/>
        <v>11678.350000000002</v>
      </c>
      <c r="L10" s="6">
        <f t="shared" si="3"/>
        <v>5.0775434782608708E-2</v>
      </c>
      <c r="M10" s="6">
        <f t="shared" si="4"/>
        <v>2.5387717391304354E-2</v>
      </c>
    </row>
    <row r="11" spans="1:13" ht="14.25" customHeight="1" x14ac:dyDescent="0.25">
      <c r="A11" s="7" t="s">
        <v>22</v>
      </c>
      <c r="B11" s="2" t="s">
        <v>23</v>
      </c>
      <c r="C11" s="2">
        <v>239</v>
      </c>
      <c r="D11" s="2">
        <v>1684</v>
      </c>
      <c r="E11" s="2">
        <v>0</v>
      </c>
      <c r="F11" s="2">
        <v>14.3</v>
      </c>
      <c r="G11" s="2">
        <v>58</v>
      </c>
      <c r="H11" s="2">
        <v>17497</v>
      </c>
      <c r="I11" s="5">
        <f t="shared" si="0"/>
        <v>12522.039999999999</v>
      </c>
      <c r="J11" s="5">
        <f t="shared" si="1"/>
        <v>-7741.32</v>
      </c>
      <c r="K11" s="5">
        <f t="shared" si="2"/>
        <v>12716.28</v>
      </c>
      <c r="L11" s="6">
        <f t="shared" si="3"/>
        <v>5.5288173913043484E-2</v>
      </c>
      <c r="M11" s="6">
        <f t="shared" si="4"/>
        <v>2.7644086956521742E-2</v>
      </c>
    </row>
    <row r="12" spans="1:13" ht="14.25" customHeight="1" x14ac:dyDescent="0.25">
      <c r="A12" s="2" t="s">
        <v>24</v>
      </c>
      <c r="B12" s="2" t="s">
        <v>23</v>
      </c>
      <c r="C12" s="2">
        <v>239</v>
      </c>
      <c r="D12" s="2">
        <v>1684</v>
      </c>
      <c r="E12" s="2">
        <v>0</v>
      </c>
      <c r="F12" s="2">
        <v>14.3</v>
      </c>
      <c r="G12" s="2">
        <v>58</v>
      </c>
      <c r="H12" s="2">
        <v>5492</v>
      </c>
      <c r="I12" s="5">
        <f t="shared" si="0"/>
        <v>12522.039999999999</v>
      </c>
      <c r="J12" s="5">
        <f t="shared" si="1"/>
        <v>-7741.32</v>
      </c>
      <c r="K12" s="5">
        <f t="shared" si="2"/>
        <v>711.28000000000065</v>
      </c>
      <c r="L12" s="6">
        <f t="shared" si="3"/>
        <v>3.0925217391304378E-3</v>
      </c>
      <c r="M12" s="6">
        <f t="shared" si="4"/>
        <v>1.5462608695652189E-3</v>
      </c>
    </row>
    <row r="13" spans="1:13" ht="14.25" customHeight="1" x14ac:dyDescent="0.25">
      <c r="A13" s="7" t="s">
        <v>6</v>
      </c>
      <c r="B13" s="2" t="s">
        <v>35</v>
      </c>
      <c r="C13" s="2">
        <v>0</v>
      </c>
      <c r="D13" s="4">
        <v>14000</v>
      </c>
      <c r="E13" s="4">
        <v>25</v>
      </c>
      <c r="F13" s="2">
        <v>0</v>
      </c>
      <c r="G13" s="2">
        <v>0</v>
      </c>
      <c r="H13">
        <f>I13+J13+K13</f>
        <v>658820</v>
      </c>
      <c r="I13">
        <f t="shared" si="0"/>
        <v>63839.999999999993</v>
      </c>
      <c r="J13">
        <f>-2.93*D13-48.4*G13</f>
        <v>-41020</v>
      </c>
      <c r="K13" s="8">
        <f>3.18*E13*8000</f>
        <v>636000</v>
      </c>
      <c r="L13" s="6">
        <f>K13/800000</f>
        <v>0.79500000000000004</v>
      </c>
      <c r="M13" s="6">
        <f>L13/10</f>
        <v>7.9500000000000001E-2</v>
      </c>
    </row>
    <row r="14" spans="1:13" x14ac:dyDescent="0.25">
      <c r="D14" t="s">
        <v>37</v>
      </c>
      <c r="E14" t="s">
        <v>38</v>
      </c>
      <c r="K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6092-7918-4A1E-9D41-B0C5D96477E8}">
  <dimension ref="A1:D18"/>
  <sheetViews>
    <sheetView tabSelected="1" workbookViewId="0">
      <selection activeCell="D7" sqref="D7"/>
    </sheetView>
  </sheetViews>
  <sheetFormatPr defaultRowHeight="15" x14ac:dyDescent="0.25"/>
  <cols>
    <col min="1" max="1" width="34.85546875" customWidth="1"/>
    <col min="2" max="2" width="31.85546875" customWidth="1"/>
    <col min="3" max="3" width="22.7109375" bestFit="1" customWidth="1"/>
    <col min="4" max="4" width="12" bestFit="1" customWidth="1"/>
  </cols>
  <sheetData>
    <row r="1" spans="1:4" x14ac:dyDescent="0.25">
      <c r="A1" s="1" t="s">
        <v>3</v>
      </c>
      <c r="B1" t="s">
        <v>2</v>
      </c>
      <c r="C1" s="1" t="s">
        <v>1</v>
      </c>
      <c r="D1" t="s">
        <v>56</v>
      </c>
    </row>
    <row r="2" spans="1:4" x14ac:dyDescent="0.25">
      <c r="A2" t="s">
        <v>67</v>
      </c>
      <c r="B2" s="14">
        <v>461000</v>
      </c>
      <c r="C2" t="s">
        <v>47</v>
      </c>
      <c r="D2" s="13" t="s">
        <v>66</v>
      </c>
    </row>
    <row r="3" spans="1:4" x14ac:dyDescent="0.25">
      <c r="A3" t="s">
        <v>42</v>
      </c>
      <c r="B3" s="15">
        <v>0.92</v>
      </c>
      <c r="C3" s="11" t="s">
        <v>47</v>
      </c>
    </row>
    <row r="4" spans="1:4" x14ac:dyDescent="0.25">
      <c r="A4" t="s">
        <v>43</v>
      </c>
      <c r="B4" s="15">
        <v>0.04</v>
      </c>
      <c r="C4" s="11" t="s">
        <v>47</v>
      </c>
    </row>
    <row r="5" spans="1:4" x14ac:dyDescent="0.25">
      <c r="A5" t="s">
        <v>44</v>
      </c>
      <c r="B5" s="15">
        <v>0.04</v>
      </c>
      <c r="C5" s="11" t="s">
        <v>47</v>
      </c>
    </row>
    <row r="6" spans="1:4" x14ac:dyDescent="0.25">
      <c r="A6" t="s">
        <v>48</v>
      </c>
      <c r="B6" s="15">
        <f>3.5/100</f>
        <v>3.5000000000000003E-2</v>
      </c>
      <c r="C6" s="11" t="s">
        <v>71</v>
      </c>
      <c r="D6" s="13" t="s">
        <v>72</v>
      </c>
    </row>
    <row r="7" spans="1:4" x14ac:dyDescent="0.25">
      <c r="A7" t="s">
        <v>49</v>
      </c>
      <c r="B7" s="14">
        <f>4.2/100</f>
        <v>4.2000000000000003E-2</v>
      </c>
      <c r="C7" s="11" t="s">
        <v>71</v>
      </c>
      <c r="D7" s="13" t="s">
        <v>77</v>
      </c>
    </row>
    <row r="8" spans="1:4" x14ac:dyDescent="0.25">
      <c r="A8" t="s">
        <v>50</v>
      </c>
      <c r="B8" s="14">
        <f>14.3/100</f>
        <v>0.14300000000000002</v>
      </c>
      <c r="C8" s="11" t="s">
        <v>58</v>
      </c>
      <c r="D8" t="s">
        <v>55</v>
      </c>
    </row>
    <row r="9" spans="1:4" x14ac:dyDescent="0.25">
      <c r="A9" t="s">
        <v>45</v>
      </c>
      <c r="B9" s="15">
        <v>8.7799999999999994</v>
      </c>
      <c r="C9" s="11" t="s">
        <v>68</v>
      </c>
      <c r="D9" s="13" t="s">
        <v>70</v>
      </c>
    </row>
    <row r="10" spans="1:4" x14ac:dyDescent="0.25">
      <c r="A10" t="s">
        <v>46</v>
      </c>
      <c r="B10" s="15">
        <v>10.210000000000001</v>
      </c>
      <c r="C10" s="11" t="s">
        <v>68</v>
      </c>
      <c r="D10" t="s">
        <v>55</v>
      </c>
    </row>
    <row r="11" spans="1:4" x14ac:dyDescent="0.25">
      <c r="A11" t="s">
        <v>59</v>
      </c>
      <c r="B11" s="15">
        <f>631.7/1000</f>
        <v>0.63170000000000004</v>
      </c>
      <c r="C11" s="11" t="s">
        <v>54</v>
      </c>
      <c r="D11" s="13" t="s">
        <v>70</v>
      </c>
    </row>
    <row r="12" spans="1:4" x14ac:dyDescent="0.25">
      <c r="A12" t="s">
        <v>60</v>
      </c>
      <c r="B12" s="15">
        <v>3.5999999999999997E-2</v>
      </c>
      <c r="C12" s="11" t="s">
        <v>54</v>
      </c>
      <c r="D12" t="s">
        <v>55</v>
      </c>
    </row>
    <row r="13" spans="1:4" x14ac:dyDescent="0.25">
      <c r="A13" t="s">
        <v>51</v>
      </c>
      <c r="B13" s="15">
        <v>1.4</v>
      </c>
      <c r="C13" s="11" t="s">
        <v>47</v>
      </c>
      <c r="D13" s="13" t="s">
        <v>62</v>
      </c>
    </row>
    <row r="14" spans="1:4" x14ac:dyDescent="0.25">
      <c r="A14" t="s">
        <v>63</v>
      </c>
      <c r="B14" s="15">
        <v>1.4</v>
      </c>
      <c r="C14" s="11"/>
      <c r="D14" t="s">
        <v>64</v>
      </c>
    </row>
    <row r="15" spans="1:4" x14ac:dyDescent="0.25">
      <c r="A15" t="s">
        <v>52</v>
      </c>
      <c r="B15" s="15">
        <v>2.5</v>
      </c>
      <c r="C15" s="11" t="s">
        <v>47</v>
      </c>
      <c r="D15" t="s">
        <v>61</v>
      </c>
    </row>
    <row r="16" spans="1:4" x14ac:dyDescent="0.25">
      <c r="A16" t="s">
        <v>4</v>
      </c>
      <c r="B16" s="16">
        <f>AVERAGE(0.133,0.093,0.066)</f>
        <v>9.7333333333333341E-2</v>
      </c>
      <c r="C16" s="11" t="s">
        <v>69</v>
      </c>
      <c r="D16" s="13" t="s">
        <v>70</v>
      </c>
    </row>
    <row r="17" spans="1:3" x14ac:dyDescent="0.25">
      <c r="A17" t="s">
        <v>75</v>
      </c>
      <c r="B17" s="15">
        <v>3.7854100000000002</v>
      </c>
      <c r="C17" s="11" t="s">
        <v>73</v>
      </c>
    </row>
    <row r="18" spans="1:3" x14ac:dyDescent="0.25">
      <c r="A18" t="s">
        <v>76</v>
      </c>
      <c r="B18" s="15">
        <v>1.60934</v>
      </c>
      <c r="C18" s="11" t="s">
        <v>74</v>
      </c>
    </row>
  </sheetData>
  <hyperlinks>
    <hyperlink ref="D13" r:id="rId1" xr:uid="{DD207562-6B8E-4B07-9032-C47C719B6465}"/>
    <hyperlink ref="D6" r:id="rId2" display="https://fueleconomy.gov/feg/Find.do?action=sbs&amp;id=32092" xr:uid="{452C1D82-AB89-4A3B-B52E-802FE445CA46}"/>
    <hyperlink ref="D7" r:id="rId3" xr:uid="{927A0EEE-21D9-4DC3-A39F-76630DC4B0F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VehMun</vt:lpstr>
      <vt:lpstr>Munich</vt:lpstr>
      <vt:lpstr>VehSea</vt:lpstr>
      <vt:lpstr>Seattle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Westphal</dc:creator>
  <cp:lastModifiedBy>Sophie Westphal</cp:lastModifiedBy>
  <dcterms:created xsi:type="dcterms:W3CDTF">2024-07-16T11:42:08Z</dcterms:created>
  <dcterms:modified xsi:type="dcterms:W3CDTF">2025-01-28T18:15:46Z</dcterms:modified>
</cp:coreProperties>
</file>