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o\Desktop\Excel for Everyone\"/>
    </mc:Choice>
  </mc:AlternateContent>
  <xr:revisionPtr revIDLastSave="0" documentId="8_{442EF324-805E-477E-8CD1-B9225525D5BF}" xr6:coauthVersionLast="47" xr6:coauthVersionMax="47" xr10:uidLastSave="{00000000-0000-0000-0000-000000000000}"/>
  <bookViews>
    <workbookView xWindow="-108" yWindow="-108" windowWidth="23256" windowHeight="12456" tabRatio="658" firstSheet="2" activeTab="8" xr2:uid="{CEC336DA-D986-4983-AE70-558708AA3A59}"/>
  </bookViews>
  <sheets>
    <sheet name="21.1_ref sheet" sheetId="1" r:id="rId1"/>
    <sheet name="21.2_ref sheet" sheetId="2" r:id="rId2"/>
    <sheet name="22_Protect" sheetId="3" r:id="rId3"/>
    <sheet name="23_$" sheetId="4" r:id="rId4"/>
    <sheet name="24_find blank &amp; delete" sheetId="5" r:id="rId5"/>
    <sheet name="25_find&amp;replace" sheetId="6" r:id="rId6"/>
    <sheet name="26_visualization" sheetId="7" r:id="rId7"/>
    <sheet name="27-28_vlookup" sheetId="8" r:id="rId8"/>
    <sheet name="29_simple acc program" sheetId="9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9" l="1"/>
  <c r="J8" i="9"/>
  <c r="J9" i="9"/>
  <c r="J10" i="9"/>
  <c r="J11" i="9"/>
  <c r="J12" i="9"/>
  <c r="J13" i="9"/>
  <c r="J14" i="9"/>
  <c r="H2" i="9"/>
  <c r="J2" i="9" s="1"/>
  <c r="H3" i="9"/>
  <c r="J3" i="9" s="1"/>
  <c r="H4" i="9"/>
  <c r="J4" i="9" s="1"/>
  <c r="H5" i="9"/>
  <c r="J5" i="9" s="1"/>
  <c r="H6" i="9"/>
  <c r="J6" i="9" s="1"/>
  <c r="H7" i="9"/>
  <c r="J7" i="9" s="1"/>
  <c r="H8" i="9"/>
  <c r="H9" i="9"/>
  <c r="H10" i="9"/>
  <c r="H11" i="9"/>
  <c r="H12" i="9"/>
  <c r="H13" i="9"/>
  <c r="H14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L2" i="8"/>
  <c r="K2" i="8"/>
  <c r="D26" i="8"/>
  <c r="D29" i="8" s="1"/>
  <c r="E25" i="8"/>
  <c r="E24" i="8"/>
  <c r="E23" i="8"/>
  <c r="E22" i="8"/>
  <c r="E21" i="8"/>
  <c r="E20" i="8"/>
  <c r="E19" i="8"/>
  <c r="E18" i="8"/>
  <c r="E17" i="8"/>
  <c r="E16" i="8"/>
  <c r="E15" i="8"/>
  <c r="E14" i="8"/>
  <c r="H13" i="8" a="1"/>
  <c r="H13" i="8" s="1"/>
  <c r="E13" i="8"/>
  <c r="H12" i="8" a="1"/>
  <c r="H12" i="8" s="1"/>
  <c r="E12" i="8"/>
  <c r="E11" i="8"/>
  <c r="E10" i="8"/>
  <c r="E9" i="8"/>
  <c r="H8" i="8"/>
  <c r="E8" i="8"/>
  <c r="H7" i="8"/>
  <c r="E7" i="8"/>
  <c r="H6" i="8"/>
  <c r="E6" i="8"/>
  <c r="H5" i="8"/>
  <c r="E5" i="8"/>
  <c r="E4" i="8"/>
  <c r="E3" i="8"/>
  <c r="E2" i="8"/>
  <c r="D9" i="7"/>
  <c r="D9" i="7" a="1"/>
  <c r="D8" i="7" a="1"/>
  <c r="D8" i="7" s="1"/>
  <c r="D7" i="7" a="1"/>
  <c r="D7" i="7" s="1"/>
  <c r="D6" i="7" a="1"/>
  <c r="D6" i="7" s="1"/>
  <c r="D5" i="7" a="1"/>
  <c r="D5" i="7" s="1"/>
  <c r="D4" i="7" a="1"/>
  <c r="D4" i="7" s="1"/>
  <c r="D3" i="7" a="1"/>
  <c r="D3" i="7" s="1"/>
  <c r="D2" i="7" a="1"/>
  <c r="D2" i="7" s="1"/>
  <c r="D26" i="6"/>
  <c r="D29" i="6" s="1"/>
  <c r="E25" i="6"/>
  <c r="E24" i="6"/>
  <c r="E23" i="6"/>
  <c r="E22" i="6"/>
  <c r="E21" i="6"/>
  <c r="E20" i="6"/>
  <c r="E19" i="6"/>
  <c r="E18" i="6"/>
  <c r="E17" i="6"/>
  <c r="E16" i="6"/>
  <c r="E15" i="6"/>
  <c r="E14" i="6"/>
  <c r="H13" i="6" a="1"/>
  <c r="H13" i="6" s="1"/>
  <c r="E13" i="6"/>
  <c r="H12" i="6" a="1"/>
  <c r="H12" i="6" s="1"/>
  <c r="E12" i="6"/>
  <c r="E11" i="6"/>
  <c r="E10" i="6"/>
  <c r="E9" i="6"/>
  <c r="H8" i="6"/>
  <c r="E8" i="6"/>
  <c r="H7" i="6"/>
  <c r="E7" i="6"/>
  <c r="H6" i="6"/>
  <c r="E6" i="6"/>
  <c r="H5" i="6"/>
  <c r="E5" i="6"/>
  <c r="E4" i="6"/>
  <c r="E3" i="6"/>
  <c r="E2" i="6"/>
  <c r="D26" i="5"/>
  <c r="D29" i="5" s="1"/>
  <c r="E25" i="5"/>
  <c r="E24" i="5"/>
  <c r="E23" i="5"/>
  <c r="E22" i="5"/>
  <c r="E21" i="5"/>
  <c r="E20" i="5"/>
  <c r="E19" i="5"/>
  <c r="E18" i="5"/>
  <c r="E17" i="5"/>
  <c r="E16" i="5"/>
  <c r="E15" i="5"/>
  <c r="E14" i="5"/>
  <c r="H13" i="5" a="1"/>
  <c r="H13" i="5" s="1"/>
  <c r="E13" i="5"/>
  <c r="H12" i="5" a="1"/>
  <c r="H12" i="5" s="1"/>
  <c r="E12" i="5"/>
  <c r="E11" i="5"/>
  <c r="E10" i="5"/>
  <c r="E9" i="5"/>
  <c r="H8" i="5"/>
  <c r="E8" i="5"/>
  <c r="H7" i="5"/>
  <c r="E7" i="5"/>
  <c r="H6" i="5"/>
  <c r="E6" i="5"/>
  <c r="H5" i="5"/>
  <c r="E5" i="5"/>
  <c r="E4" i="5"/>
  <c r="E3" i="5"/>
  <c r="E2" i="5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H5" i="4"/>
  <c r="D28" i="4"/>
  <c r="D31" i="4" s="1"/>
  <c r="H13" i="4" a="1"/>
  <c r="H13" i="4" s="1"/>
  <c r="H12" i="4" a="1"/>
  <c r="H12" i="4" s="1"/>
  <c r="H8" i="4"/>
  <c r="H7" i="4"/>
  <c r="H6" i="4"/>
  <c r="D28" i="3"/>
  <c r="D31" i="3" s="1"/>
  <c r="G13" i="3" a="1"/>
  <c r="G13" i="3" s="1"/>
  <c r="G12" i="3" a="1"/>
  <c r="G12" i="3" s="1"/>
  <c r="G8" i="3"/>
  <c r="G7" i="3"/>
  <c r="G6" i="3"/>
  <c r="G5" i="3"/>
  <c r="B2" i="2"/>
  <c r="J15" i="9" l="1"/>
  <c r="D27" i="8"/>
  <c r="D28" i="8"/>
  <c r="D27" i="6"/>
  <c r="D28" i="6"/>
  <c r="D27" i="5"/>
  <c r="D28" i="5"/>
  <c r="D29" i="4"/>
  <c r="D30" i="4"/>
  <c r="D29" i="3"/>
  <c r="D3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<sst xmlns="http://schemas.openxmlformats.org/spreadsheetml/2006/main" count="248" uniqueCount="74">
  <si>
    <t>AA</t>
  </si>
  <si>
    <t>ลำดับที่</t>
  </si>
  <si>
    <t>ชื่อลูกค้า</t>
  </si>
  <si>
    <t>เวลา</t>
  </si>
  <si>
    <t>จำนวนเงิน</t>
  </si>
  <si>
    <t>a</t>
  </si>
  <si>
    <t>b</t>
  </si>
  <si>
    <t>c</t>
  </si>
  <si>
    <t>d</t>
  </si>
  <si>
    <t>จำนวนยอดทั้งหมด :</t>
  </si>
  <si>
    <t>e</t>
  </si>
  <si>
    <t>ค่าเฉลี่ย :</t>
  </si>
  <si>
    <t>f</t>
  </si>
  <si>
    <t>ออเดอร์ยอดสูงสุด :</t>
  </si>
  <si>
    <t>g</t>
  </si>
  <si>
    <t>ออเดอร์ยอดต่ำสุด :</t>
  </si>
  <si>
    <t>h</t>
  </si>
  <si>
    <t>i</t>
  </si>
  <si>
    <t>ดูยอดรายการเฉพาะออเดอร์</t>
  </si>
  <si>
    <t>j</t>
  </si>
  <si>
    <t>ระบุเลขที่ออเดอร์ :</t>
  </si>
  <si>
    <t>k</t>
  </si>
  <si>
    <t>l</t>
  </si>
  <si>
    <t>จำนวนเงินที่ลูกค้าจ่าย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</si>
  <si>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</si>
  <si>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</si>
  <si>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</si>
  <si>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</si>
  <si>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</si>
  <si>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</si>
  <si>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</si>
  <si>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</si>
  <si>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</si>
  <si>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</si>
  <si>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</si>
  <si>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</si>
  <si>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Total</t>
  </si>
  <si>
    <t>รวมทั้งสิ้น</t>
  </si>
  <si>
    <t>ส่วนลด</t>
  </si>
  <si>
    <t>ราคาหลังได้รับส่วนลด</t>
  </si>
  <si>
    <t>ab</t>
  </si>
  <si>
    <t>ชื่อวิชา</t>
  </si>
  <si>
    <t>คะแนน</t>
  </si>
  <si>
    <t>เกรดที่ได้</t>
  </si>
  <si>
    <t>ENG</t>
  </si>
  <si>
    <t>THAI</t>
  </si>
  <si>
    <t>BIO</t>
  </si>
  <si>
    <t>PHYSIC</t>
  </si>
  <si>
    <t>ART</t>
  </si>
  <si>
    <t>COM</t>
  </si>
  <si>
    <t>CHEM</t>
  </si>
  <si>
    <t>ECON</t>
  </si>
  <si>
    <t>ชื่อ</t>
  </si>
  <si>
    <t>จำนวน</t>
  </si>
  <si>
    <t>kittisal</t>
  </si>
  <si>
    <t>ข้าวมันไก่</t>
  </si>
  <si>
    <t>น้ำอัดลม</t>
  </si>
  <si>
    <t>ขนมมันฝรั่ง</t>
  </si>
  <si>
    <t>ข้าวหมกไก่</t>
  </si>
  <si>
    <t>ชาไทย</t>
  </si>
  <si>
    <t>นักเก็ต</t>
  </si>
  <si>
    <t>ข้าวต้มปลา</t>
  </si>
  <si>
    <t>น้ำแข็งเปล่า</t>
  </si>
  <si>
    <t>น้ำแร่</t>
  </si>
  <si>
    <t>หมูทอด</t>
  </si>
  <si>
    <t>ไก่ย่าง</t>
  </si>
  <si>
    <t>ชื่อสินค้า</t>
  </si>
  <si>
    <t>ราคา</t>
  </si>
  <si>
    <t>ไก่ทอด</t>
  </si>
  <si>
    <t>รหัสสินค้า</t>
  </si>
  <si>
    <t>ราคาสินค้า</t>
  </si>
  <si>
    <t>ราคารวม</t>
  </si>
  <si>
    <t>ลำดับ</t>
  </si>
  <si>
    <t>ไม่มีรายการสินค้า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</si>
</sst>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00]h:mm:ss\ AM/PM;@"/>
    <numFmt numFmtId="165" formatCode="_-[$฿-41E]* #,##0.00_-;\-[$฿-41E]* #,##0.00_-;_-[$฿-41E]* &quot;-&quot;??_-;_-@_-"/>
  </numFmts>
  <fonts count="2">
    <font>
      <sz val="11"/>
      <color theme="1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3" borderId="0" xfId="0" applyFill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2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-[$฿-41E]* #,##0.00_-;\-[$฿-41E]* #,##0.00_-;_-[$฿-41E]* &quot;-&quot;??_-;_-@_-"/>
    </dxf>
    <dxf>
      <numFmt numFmtId="165" formatCode="_-[$฿-41E]* #,##0.00_-;\-[$฿-41E]* #,##0.00_-;_-[$฿-41E]* &quot;-&quot;??_-;_-@_-"/>
    </dxf>
    <dxf>
      <numFmt numFmtId="165" formatCode="_-[$฿-41E]* #,##0.00_-;\-[$฿-41E]* #,##0.00_-;_-[$฿-41E]* &quot;-&quot;??_-;_-@_-"/>
    </dxf>
    <dxf>
      <numFmt numFmtId="164" formatCode="[$-1000000]h:mm:ss\ AM/PM;@"/>
    </dxf>
    <dxf>
      <numFmt numFmtId="165" formatCode="_-[$฿-41E]* #,##0.00_-;\-[$฿-41E]* #,##0.00_-;_-[$฿-41E]* &quot;-&quot;??_-;_-@_-"/>
    </dxf>
    <dxf>
      <numFmt numFmtId="165" formatCode="_-[$฿-41E]* #,##0.00_-;\-[$฿-41E]* #,##0.00_-;_-[$฿-41E]* &quot;-&quot;??_-;_-@_-"/>
    </dxf>
    <dxf>
      <numFmt numFmtId="165" formatCode="_-[$฿-41E]* #,##0.00_-;\-[$฿-41E]* #,##0.00_-;_-[$฿-41E]* &quot;-&quot;??_-;_-@_-"/>
    </dxf>
    <dxf>
      <numFmt numFmtId="164" formatCode="[$-1000000]h:mm:ss\ AM/PM;@"/>
    </dxf>
    <dxf>
      <numFmt numFmtId="165" formatCode="_-[$฿-41E]* #,##0.00_-;\-[$฿-41E]* #,##0.00_-;_-[$฿-41E]* &quot;-&quot;??_-;_-@_-"/>
    </dxf>
    <dxf>
      <numFmt numFmtId="165" formatCode="_-[$฿-41E]* #,##0.00_-;\-[$฿-41E]* #,##0.00_-;_-[$฿-41E]* &quot;-&quot;??_-;_-@_-"/>
    </dxf>
    <dxf>
      <numFmt numFmtId="165" formatCode="_-[$฿-41E]* #,##0.00_-;\-[$฿-41E]* #,##0.00_-;_-[$฿-41E]* &quot;-&quot;??_-;_-@_-"/>
    </dxf>
    <dxf>
      <numFmt numFmtId="165" formatCode="_-[$฿-41E]* #,##0.00_-;\-[$฿-41E]* #,##0.00_-;_-[$฿-41E]* &quot;-&quot;??_-;_-@_-"/>
    </dxf>
    <dxf>
      <numFmt numFmtId="164" formatCode="[$-1000000]h:mm:ss\ AM/PM;@"/>
    </dxf>
    <dxf>
      <numFmt numFmtId="165" formatCode="_-[$฿-41E]* #,##0.00_-;\-[$฿-41E]* #,##0.00_-;_-[$฿-41E]* &quot;-&quot;??_-;_-@_-"/>
    </dxf>
    <dxf>
      <numFmt numFmtId="165" formatCode="_-[$฿-41E]* #,##0.00_-;\-[$฿-41E]* #,##0.00_-;_-[$฿-41E]* &quot;-&quot;??_-;_-@_-"/>
    </dxf>
    <dxf>
      <numFmt numFmtId="164" formatCode="[$-1000000]h:mm:ss\ AM/PM;@"/>
    </dxf>
    <dxf>
      <numFmt numFmtId="165" formatCode="_-[$฿-41E]* #,##0.00_-;\-[$฿-41E]* #,##0.00_-;_-[$฿-41E]* &quot;-&quot;??_-;_-@_-"/>
    </dxf>
    <dxf>
      <numFmt numFmtId="165" formatCode="_-[$฿-41E]* #,##0.00_-;\-[$฿-41E]* #,##0.00_-;_-[$฿-41E]* &quot;-&quot;??_-;_-@_-"/>
    </dxf>
    <dxf>
      <numFmt numFmtId="164" formatCode="[$-1000000]h:mm:ss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'26_visualization'!$C$1</c:f>
              <c:strCache>
                <c:ptCount val="1"/>
                <c:pt idx="0">
                  <c:v>คะแนน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'26_visualization'!$B$2:$B$9</c:f>
              <c:strCache>
                <c:ptCount val="8"/>
                <c:pt idx="0">
                  <c:v>ENG</c:v>
                </c:pt>
                <c:pt idx="1">
                  <c:v>THAI</c:v>
                </c:pt>
                <c:pt idx="2">
                  <c:v>BIO</c:v>
                </c:pt>
                <c:pt idx="3">
                  <c:v>PHYSIC</c:v>
                </c:pt>
                <c:pt idx="4">
                  <c:v>ART</c:v>
                </c:pt>
                <c:pt idx="5">
                  <c:v>COM</c:v>
                </c:pt>
                <c:pt idx="6">
                  <c:v>CHEM</c:v>
                </c:pt>
                <c:pt idx="7">
                  <c:v>ECON</c:v>
                </c:pt>
              </c:strCache>
            </c:strRef>
          </c:cat>
          <c:val>
            <c:numRef>
              <c:f>'26_visualization'!$C$2:$C$9</c:f>
              <c:numCache>
                <c:formatCode>General</c:formatCode>
                <c:ptCount val="8"/>
                <c:pt idx="0">
                  <c:v>85</c:v>
                </c:pt>
                <c:pt idx="1">
                  <c:v>45</c:v>
                </c:pt>
                <c:pt idx="2">
                  <c:v>50</c:v>
                </c:pt>
                <c:pt idx="3">
                  <c:v>30</c:v>
                </c:pt>
                <c:pt idx="4">
                  <c:v>45</c:v>
                </c:pt>
                <c:pt idx="5">
                  <c:v>80</c:v>
                </c:pt>
                <c:pt idx="6">
                  <c:v>60</c:v>
                </c:pt>
                <c:pt idx="7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C-4767-B32C-9A4C92845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175312"/>
        <c:axId val="624181968"/>
      </c:barChart>
      <c:catAx>
        <c:axId val="62417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81968"/>
        <c:crosses val="autoZero"/>
        <c:auto val="1"/>
        <c:lblAlgn val="ctr"/>
        <c:lblOffset val="100"/>
        <c:noMultiLvlLbl val="0"/>
      </c:catAx>
      <c:valAx>
        <c:axId val="62418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83820</xdr:rowOff>
    </xdr:from>
    <xdr:to>
      <xdr:col>15</xdr:col>
      <xdr:colOff>228600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56C28-1927-FE37-9A1C-05B9118C0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ction02_Basic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_avg"/>
      <sheetName val="07_workshop avg"/>
      <sheetName val="Sheet4"/>
      <sheetName val="08_max min"/>
      <sheetName val="09_workshop max min"/>
      <sheetName val="10_bathtext"/>
      <sheetName val="11_counta"/>
      <sheetName val="12_index"/>
      <sheetName val="13_len"/>
      <sheetName val="14_no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DD1739-5FFA-457D-8A9C-F319D7F4C5BB}" name="Table1345634" displayName="Table1345634" ref="A1:D28" totalsRowCount="1">
  <autoFilter ref="A1:D27" xr:uid="{72DD1739-5FFA-457D-8A9C-F319D7F4C5BB}"/>
  <tableColumns count="4">
    <tableColumn id="1" xr3:uid="{6AEF4CE2-2521-4B1F-8DB3-23D3737063A7}" name="ลำดับที่" totalsRowLabel="Total"/>
    <tableColumn id="2" xr3:uid="{164B4A03-1E79-4162-8F83-1CE8F8E112E6}" name="ชื่อลูกค้า"/>
    <tableColumn id="3" xr3:uid="{4D90F90A-2442-40A2-9390-4ED6EF0EFB6F}" name="เวลา" dataDxfId="31"/>
    <tableColumn id="4" xr3:uid="{7B555E3B-57EC-462F-864B-009E45CED64F}" name="จำนวนเงิน" totalsRowFunction="sum" dataDxfId="29" totalsRowDxfId="3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B73A29-D4FD-4794-9096-357FD621000B}" name="Table13456343" displayName="Table13456343" ref="A1:E28" totalsRowCount="1">
  <autoFilter ref="A1:E27" xr:uid="{74B73A29-D4FD-4794-9096-357FD621000B}"/>
  <tableColumns count="5">
    <tableColumn id="1" xr3:uid="{C8A251BA-3FBF-477D-B424-2D0EA604848D}" name="ลำดับที่" totalsRowLabel="Total"/>
    <tableColumn id="2" xr3:uid="{C955E80F-2C58-42E3-BC75-38D2B5A77ABF}" name="ชื่อลูกค้า"/>
    <tableColumn id="3" xr3:uid="{7EC588B8-528E-450E-8BF5-A90ECC15FDAD}" name="เวลา" dataDxfId="28"/>
    <tableColumn id="4" xr3:uid="{24C4AE9B-E774-47CA-853B-EDDF56923026}" name="จำนวนเงิน" totalsRowFunction="sum" dataDxfId="27" totalsRowDxfId="21"/>
    <tableColumn id="5" xr3:uid="{E68EE060-6C09-404F-B3B6-419C4F82A48D}" name="ส่วนลด" dataDxfId="26">
      <calculatedColumnFormula>Table13456343[[#This Row],[จำนวนเงิน]]-$H$4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139BBD-5E36-420B-8702-FBF8663A1E3A}" name="Table134563434" displayName="Table134563434" ref="A1:E26" totalsRowCount="1">
  <autoFilter ref="A1:E25" xr:uid="{D8139BBD-5E36-420B-8702-FBF8663A1E3A}"/>
  <tableColumns count="5">
    <tableColumn id="1" xr3:uid="{F02A45C1-A0CA-44B5-8B59-8B1632EE4F66}" name="ลำดับที่" totalsRowLabel="Total"/>
    <tableColumn id="2" xr3:uid="{2AAC3CF8-FA87-4856-9F6C-ADD19B024EAB}" name="ชื่อลูกค้า"/>
    <tableColumn id="3" xr3:uid="{1C819298-9FB6-446A-A748-544C37A6521E}" name="เวลา" dataDxfId="25"/>
    <tableColumn id="4" xr3:uid="{86B058C4-40F6-4D7F-B545-9203AE417B89}" name="จำนวนเงิน" totalsRowFunction="sum" dataDxfId="24" totalsRowDxfId="22"/>
    <tableColumn id="5" xr3:uid="{D9B65C4E-8B71-434B-BB26-C787323DCB3F}" name="ส่วนลด" dataDxfId="23">
      <calculatedColumnFormula>Table134563434[[#This Row],[จำนวนเงิน]]-$H$4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05CB9-8526-4C0E-B596-16B9959B5F7D}" name="Table1345634345" displayName="Table1345634345" ref="A1:E26" totalsRowCount="1">
  <autoFilter ref="A1:E25" xr:uid="{1ED05CB9-8526-4C0E-B596-16B9959B5F7D}"/>
  <tableColumns count="5">
    <tableColumn id="1" xr3:uid="{504CE276-D834-4955-9FD7-97B00F3DADDF}" name="ลำดับที่" totalsRowLabel="Total"/>
    <tableColumn id="2" xr3:uid="{82DB892D-8DFB-4EF4-AAA9-341458898DDE}" name="ชื่อลูกค้า"/>
    <tableColumn id="3" xr3:uid="{57335EA2-C85B-4C52-9FDE-53C89FF57D66}" name="เวลา" dataDxfId="20"/>
    <tableColumn id="4" xr3:uid="{8A725B56-7D79-42AF-AF06-895976D93C67}" name="จำนวนเงิน" totalsRowFunction="sum" dataDxfId="18" totalsRowDxfId="19"/>
    <tableColumn id="5" xr3:uid="{9C5674D6-5551-4558-B3E7-50F0A6087BCB}" name="ส่วนลด" dataDxfId="17">
      <calculatedColumnFormula>Table1345634345[[#This Row],[จำนวนเงิน]]-$H$4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F96475-BEF6-4A6C-916B-17BFBCC8FA5F}" name="Table13456343456" displayName="Table13456343456" ref="A1:E26" totalsRowCount="1">
  <autoFilter ref="A1:E25" xr:uid="{D8F96475-BEF6-4A6C-916B-17BFBCC8FA5F}"/>
  <tableColumns count="5">
    <tableColumn id="1" xr3:uid="{FDA72B2D-9385-4146-8E4B-943825361222}" name="ลำดับที่" totalsRowLabel="Total"/>
    <tableColumn id="2" xr3:uid="{A0246314-69DF-45EE-9567-C105B54CCE1C}" name="ชื่อลูกค้า"/>
    <tableColumn id="3" xr3:uid="{27680120-970E-43F6-A997-58BDE34AC4BA}" name="เวลา" dataDxfId="16"/>
    <tableColumn id="4" xr3:uid="{2491F335-5739-46D3-973C-60D37CA2400E}" name="จำนวนเงิน" totalsRowFunction="sum" dataDxfId="15" totalsRowDxfId="13"/>
    <tableColumn id="5" xr3:uid="{BC153192-80FA-4D66-98D4-D444E5FB6BFE}" name="ส่วนลด" dataDxfId="14">
      <calculatedColumnFormula>Table13456343456[[#This Row],[จำนวนเงิน]]-$H$4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DEA0D7-97F9-4185-840E-F404B10205D3}" name="Table6" displayName="Table6" ref="A1:C15" totalsRowShown="0" headerRowDxfId="9" dataDxfId="5" headerRowBorderDxfId="11" tableBorderDxfId="12" totalsRowBorderDxfId="10">
  <autoFilter ref="A1:C15" xr:uid="{46DEA0D7-97F9-4185-840E-F404B10205D3}"/>
  <tableColumns count="3">
    <tableColumn id="1" xr3:uid="{A61F6B56-4D99-4011-BB7C-68ACB14A9DFB}" name="ลำดับที่" dataDxfId="8"/>
    <tableColumn id="2" xr3:uid="{EBA1D389-B86B-4B00-8095-28C53F5EFBCA}" name="ชื่อสินค้า" dataDxfId="7"/>
    <tableColumn id="3" xr3:uid="{B4A62654-77E7-4FA8-BBCF-65D52D25C336}" name="ราคา" dataDxfId="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037DF4-4D3D-4880-AAB4-985E6FD2FF0B}" name="Table8" displayName="Table8" ref="E1:J14" totalsRowShown="0">
  <autoFilter ref="E1:J14" xr:uid="{C2037DF4-4D3D-4880-AAB4-985E6FD2FF0B}"/>
  <tableColumns count="6">
    <tableColumn id="1" xr3:uid="{4EC09459-17DD-4DCF-B724-39A334BA6BBA}" name="ลำดับ"/>
    <tableColumn id="2" xr3:uid="{2FAA5937-6241-40C9-BE57-96A65C77D781}" name="รหัสสินค้า" dataDxfId="4"/>
    <tableColumn id="3" xr3:uid="{C607E90A-5A2E-4E47-8477-22B9B5A69E5F}" name="ชื่อสินค้า" dataDxfId="2">
      <calculatedColumnFormula>VLOOKUP(Table8[[#This Row],[รหัสสินค้า]],Table6[#All],2,0)</calculatedColumnFormula>
    </tableColumn>
    <tableColumn id="4" xr3:uid="{5E8B891E-788B-493D-8C94-61120B11FDF3}" name="ราคาสินค้า" dataDxfId="1">
      <calculatedColumnFormula>VLOOKUP(Table8[[#This Row],[รหัสสินค้า]],Table6[#All],3,0)</calculatedColumnFormula>
    </tableColumn>
    <tableColumn id="5" xr3:uid="{E79DA5F7-9C82-4083-A9A6-251DF365E694}" name="จำนวน" dataDxfId="3"/>
    <tableColumn id="6" xr3:uid="{B99981BF-FD4F-460A-BB1A-F5A6E7ECC7D9}" name="ราคารวม" dataDxfId="0">
      <calculatedColumnFormula>Table8[[#This Row],[ราคาสินค้า]]*Table8[[#This Row],[จำนวน]]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3C71-7E69-4F06-B128-B53386A7E65E}">
  <dimension ref="A1:B1"/>
  <sheetViews>
    <sheetView workbookViewId="0">
      <selection activeCell="D28" sqref="D28"/>
    </sheetView>
  </sheetViews>
  <sheetFormatPr defaultRowHeight="14.4"/>
  <sheetData>
    <row r="1" spans="1:2">
      <c r="A1" t="s">
        <v>0</v>
      </c>
      <c r="B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8264-EF7F-499E-8DE6-E60DA1C6DB3B}">
  <dimension ref="B2"/>
  <sheetViews>
    <sheetView workbookViewId="0">
      <selection activeCell="B2" sqref="B2"/>
    </sheetView>
  </sheetViews>
  <sheetFormatPr defaultRowHeight="14.4"/>
  <sheetData>
    <row r="2" spans="2:2">
      <c r="B2">
        <f>'21.1_ref sheet'!B1+50</f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B96D-A5FF-4E6B-8329-7A597DF35EAC}">
  <dimension ref="A1:G31"/>
  <sheetViews>
    <sheetView workbookViewId="0">
      <selection sqref="A1:G31"/>
    </sheetView>
  </sheetViews>
  <sheetFormatPr defaultRowHeight="14.4"/>
  <cols>
    <col min="1" max="1" width="9.77734375" bestFit="1" customWidth="1"/>
    <col min="2" max="2" width="11" bestFit="1" customWidth="1"/>
    <col min="3" max="3" width="19.109375" bestFit="1" customWidth="1"/>
    <col min="4" max="4" width="23.33203125" bestFit="1" customWidth="1"/>
    <col min="6" max="6" width="19" bestFit="1" customWidth="1"/>
    <col min="7" max="7" width="12" bestFit="1" customWidth="1"/>
  </cols>
  <sheetData>
    <row r="1" spans="1:7">
      <c r="A1" t="s">
        <v>1</v>
      </c>
      <c r="B1" t="s">
        <v>2</v>
      </c>
      <c r="C1" s="1" t="s">
        <v>3</v>
      </c>
      <c r="D1" t="s">
        <v>4</v>
      </c>
    </row>
    <row r="2" spans="1:7">
      <c r="A2">
        <v>1</v>
      </c>
      <c r="B2" t="s">
        <v>5</v>
      </c>
      <c r="C2" s="1">
        <v>0</v>
      </c>
      <c r="D2" s="2">
        <v>150</v>
      </c>
    </row>
    <row r="3" spans="1:7">
      <c r="A3">
        <v>2</v>
      </c>
      <c r="B3" t="s">
        <v>6</v>
      </c>
      <c r="C3" s="1">
        <v>4.1666666666666664E-2</v>
      </c>
      <c r="D3" s="2">
        <v>100</v>
      </c>
    </row>
    <row r="4" spans="1:7">
      <c r="A4">
        <v>3</v>
      </c>
      <c r="B4" t="s">
        <v>7</v>
      </c>
      <c r="C4" s="1">
        <v>8.3333333333333301E-2</v>
      </c>
      <c r="D4" s="2">
        <v>2500</v>
      </c>
    </row>
    <row r="5" spans="1:7">
      <c r="A5">
        <v>4</v>
      </c>
      <c r="B5" t="s">
        <v>8</v>
      </c>
      <c r="C5" s="1">
        <v>0.125</v>
      </c>
      <c r="D5" s="2">
        <v>250</v>
      </c>
      <c r="F5" t="s">
        <v>9</v>
      </c>
      <c r="G5">
        <f>COUNTA(Table1345634[ลำดับที่])</f>
        <v>25</v>
      </c>
    </row>
    <row r="6" spans="1:7">
      <c r="A6">
        <v>5</v>
      </c>
      <c r="B6" t="s">
        <v>10</v>
      </c>
      <c r="C6" s="1">
        <v>0.16666666666666699</v>
      </c>
      <c r="D6" s="2">
        <v>10</v>
      </c>
      <c r="F6" t="s">
        <v>11</v>
      </c>
      <c r="G6">
        <f>AVERAGE([1]!Table1[จำนวนเงิน])</f>
        <v>2487.5416666666665</v>
      </c>
    </row>
    <row r="7" spans="1:7">
      <c r="A7">
        <v>6</v>
      </c>
      <c r="B7" t="s">
        <v>12</v>
      </c>
      <c r="C7" s="1">
        <v>0.20833333333333301</v>
      </c>
      <c r="D7" s="2">
        <v>50</v>
      </c>
      <c r="F7" t="s">
        <v>13</v>
      </c>
      <c r="G7" s="2">
        <f>MAX(Table1345634[จำนวนเงิน])</f>
        <v>2500</v>
      </c>
    </row>
    <row r="8" spans="1:7">
      <c r="A8">
        <v>7</v>
      </c>
      <c r="B8" t="s">
        <v>14</v>
      </c>
      <c r="C8" s="1">
        <v>0.25</v>
      </c>
      <c r="D8" s="2">
        <v>150</v>
      </c>
      <c r="F8" t="s">
        <v>15</v>
      </c>
      <c r="G8" s="2">
        <f>MIN(Table1345634[จำนวนเงิน])</f>
        <v>10</v>
      </c>
    </row>
    <row r="9" spans="1:7">
      <c r="A9">
        <v>8</v>
      </c>
      <c r="B9" t="s">
        <v>16</v>
      </c>
      <c r="C9" s="1">
        <v>0.29166666666666702</v>
      </c>
      <c r="D9" s="2">
        <v>1500</v>
      </c>
    </row>
    <row r="10" spans="1:7">
      <c r="A10">
        <v>9</v>
      </c>
      <c r="B10" t="s">
        <v>17</v>
      </c>
      <c r="C10" s="1">
        <v>0.33333333333333298</v>
      </c>
      <c r="D10" s="2">
        <v>250</v>
      </c>
      <c r="F10" s="3" t="s">
        <v>18</v>
      </c>
      <c r="G10" s="3"/>
    </row>
    <row r="11" spans="1:7">
      <c r="A11">
        <v>10</v>
      </c>
      <c r="B11" t="s">
        <v>19</v>
      </c>
      <c r="C11" s="1">
        <v>0.375</v>
      </c>
      <c r="D11" s="2">
        <v>450</v>
      </c>
      <c r="F11" t="s">
        <v>20</v>
      </c>
      <c r="G11">
        <v>20</v>
      </c>
    </row>
    <row r="12" spans="1:7">
      <c r="A12">
        <v>11</v>
      </c>
      <c r="B12" t="s">
        <v>21</v>
      </c>
      <c r="C12" s="1">
        <v>0.41666666666666702</v>
      </c>
      <c r="D12" s="2">
        <v>700</v>
      </c>
      <c r="F12" t="s">
        <v>2</v>
      </c>
      <c r="G12" t="str" cm="1">
        <f t="array" ref="G12">INDEX(B2:B25,G11)</f>
        <v>t</v>
      </c>
    </row>
    <row r="13" spans="1:7">
      <c r="A13">
        <v>12</v>
      </c>
      <c r="B13" t="s">
        <v>22</v>
      </c>
      <c r="C13" s="1">
        <v>0.45833333333333298</v>
      </c>
      <c r="D13" s="2">
        <v>982</v>
      </c>
      <c r="F13" t="s">
        <v>23</v>
      </c>
      <c r="G13" cm="1">
        <f t="array" ref="G13">INDEX(D2:D25,G11)</f>
        <v>150</v>
      </c>
    </row>
    <row r="14" spans="1:7">
      <c r="A14">
        <v>13</v>
      </c>
      <c r="B14" t="s">
        <v>24</v>
      </c>
      <c r="C14" s="1">
        <v>0.5</v>
      </c>
      <c r="D14" s="2">
        <v>500</v>
      </c>
    </row>
    <row r="15" spans="1:7">
      <c r="A15">
        <v>14</v>
      </c>
      <c r="B15" t="s">
        <v>25</v>
      </c>
      <c r="C15" s="1">
        <v>0.54166666666666696</v>
      </c>
      <c r="D15" s="2">
        <v>100</v>
      </c>
    </row>
    <row r="16" spans="1:7">
      <c r="A16">
        <v>15</v>
      </c>
      <c r="B16" t="s">
        <v>26</v>
      </c>
      <c r="C16" s="1">
        <v>0.58333333333333304</v>
      </c>
      <c r="D16" s="2">
        <v>50</v>
      </c>
    </row>
    <row r="17" spans="1:4">
      <c r="A17">
        <v>16</v>
      </c>
      <c r="B17" t="s">
        <v>27</v>
      </c>
      <c r="C17" s="1">
        <v>0.625</v>
      </c>
      <c r="D17" s="2">
        <v>250</v>
      </c>
    </row>
    <row r="18" spans="1:4">
      <c r="A18">
        <v>17</v>
      </c>
      <c r="B18" t="s">
        <v>28</v>
      </c>
      <c r="C18" s="1">
        <v>0.66666666666666696</v>
      </c>
      <c r="D18" s="2">
        <v>100</v>
      </c>
    </row>
    <row r="19" spans="1:4">
      <c r="A19">
        <v>18</v>
      </c>
      <c r="B19" t="s">
        <v>29</v>
      </c>
      <c r="C19" s="1">
        <v>0.70833333333333304</v>
      </c>
      <c r="D19" s="2">
        <v>99</v>
      </c>
    </row>
    <row r="20" spans="1:4">
      <c r="A20">
        <v>19</v>
      </c>
      <c r="B20" t="s">
        <v>30</v>
      </c>
      <c r="C20" s="1">
        <v>0.75</v>
      </c>
      <c r="D20" s="2">
        <v>120</v>
      </c>
    </row>
    <row r="21" spans="1:4">
      <c r="A21">
        <v>20</v>
      </c>
      <c r="B21" t="s">
        <v>31</v>
      </c>
      <c r="C21" s="1">
        <v>0.79166666666666596</v>
      </c>
      <c r="D21" s="2">
        <v>150</v>
      </c>
    </row>
    <row r="22" spans="1:4">
      <c r="A22">
        <v>21</v>
      </c>
      <c r="B22" t="s">
        <v>32</v>
      </c>
      <c r="C22" s="1">
        <v>0.83333333333333304</v>
      </c>
      <c r="D22" s="2">
        <v>340</v>
      </c>
    </row>
    <row r="23" spans="1:4">
      <c r="A23">
        <v>22</v>
      </c>
      <c r="B23" t="s">
        <v>33</v>
      </c>
      <c r="C23" s="1">
        <v>0.875</v>
      </c>
      <c r="D23" s="2">
        <v>400</v>
      </c>
    </row>
    <row r="24" spans="1:4">
      <c r="A24">
        <v>23</v>
      </c>
      <c r="B24" t="s">
        <v>34</v>
      </c>
      <c r="C24" s="1">
        <v>0.91666666666666596</v>
      </c>
      <c r="D24" s="2">
        <v>500</v>
      </c>
    </row>
    <row r="25" spans="1:4">
      <c r="A25">
        <v>24</v>
      </c>
      <c r="B25" t="s">
        <v>35</v>
      </c>
      <c r="C25" s="1">
        <v>0.95833333333333304</v>
      </c>
      <c r="D25" s="2"/>
    </row>
    <row r="26" spans="1:4">
      <c r="C26" s="1"/>
      <c r="D26" s="2"/>
    </row>
    <row r="27" spans="1:4">
      <c r="A27">
        <v>26</v>
      </c>
      <c r="C27" s="1"/>
      <c r="D27" s="2"/>
    </row>
    <row r="28" spans="1:4">
      <c r="A28" t="s">
        <v>36</v>
      </c>
      <c r="D28" s="2">
        <f>SUBTOTAL(109,Table1345634[จำนวนเงิน])</f>
        <v>9701</v>
      </c>
    </row>
    <row r="29" spans="1:4">
      <c r="C29" t="s">
        <v>37</v>
      </c>
      <c r="D29" t="str">
        <f>BAHTTEXT(Table1345634[[#Totals],[จำนวนเงิน]])</f>
        <v>เก้าพันเจ็ดร้อยเอ็ดบาทถ้วน</v>
      </c>
    </row>
    <row r="30" spans="1:4">
      <c r="C30" t="s">
        <v>38</v>
      </c>
      <c r="D30" t="str">
        <f>IF(Table1345634[[#Totals],[จำนวนเงิน]] &gt;= 50000, "ซื้อ &gt;= 50000 ได้รับส่วนลด 10%", "ซื้อ &lt; 50000 รับส่วนลด 5%")</f>
        <v>ซื้อ &lt; 50000 รับส่วนลด 5%</v>
      </c>
    </row>
    <row r="31" spans="1:4">
      <c r="C31" t="s">
        <v>39</v>
      </c>
      <c r="D31" s="2">
        <f>IF(Table1345634[[#Totals],[จำนวนเงิน]] &gt;= 50000, Table1345634[[#Totals],[จำนวนเงิน]]*0.9, Table1345634[[#Totals],[จำนวนเงิน]]*0.95)</f>
        <v>9215.9499999999989</v>
      </c>
    </row>
  </sheetData>
  <mergeCells count="1">
    <mergeCell ref="F10:G10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3961-8F44-4BE5-ABE2-658D8850B9C5}">
  <dimension ref="A1:H31"/>
  <sheetViews>
    <sheetView topLeftCell="A4" workbookViewId="0">
      <selection activeCell="D26" sqref="D26"/>
    </sheetView>
  </sheetViews>
  <sheetFormatPr defaultRowHeight="14.4"/>
  <cols>
    <col min="1" max="1" width="9.77734375" bestFit="1" customWidth="1"/>
    <col min="2" max="2" width="11" bestFit="1" customWidth="1"/>
    <col min="3" max="3" width="19.109375" bestFit="1" customWidth="1"/>
    <col min="4" max="4" width="23.33203125" bestFit="1" customWidth="1"/>
    <col min="5" max="5" width="23.33203125" customWidth="1"/>
    <col min="7" max="7" width="19" bestFit="1" customWidth="1"/>
    <col min="8" max="8" width="12" bestFit="1" customWidth="1"/>
  </cols>
  <sheetData>
    <row r="1" spans="1:8">
      <c r="A1" t="s">
        <v>1</v>
      </c>
      <c r="B1" t="s">
        <v>2</v>
      </c>
      <c r="C1" s="1" t="s">
        <v>3</v>
      </c>
      <c r="D1" t="s">
        <v>4</v>
      </c>
      <c r="E1" t="s">
        <v>38</v>
      </c>
    </row>
    <row r="2" spans="1:8">
      <c r="A2">
        <v>1</v>
      </c>
      <c r="B2" t="s">
        <v>5</v>
      </c>
      <c r="C2" s="1">
        <v>0</v>
      </c>
      <c r="D2" s="2">
        <v>150</v>
      </c>
      <c r="E2" s="2">
        <f>Table13456343[[#This Row],[จำนวนเงิน]]-$H$4</f>
        <v>125</v>
      </c>
    </row>
    <row r="3" spans="1:8">
      <c r="A3">
        <v>2</v>
      </c>
      <c r="B3" t="s">
        <v>6</v>
      </c>
      <c r="C3" s="1">
        <v>4.1666666666666664E-2</v>
      </c>
      <c r="D3" s="2">
        <v>100</v>
      </c>
      <c r="E3" s="2">
        <f>Table13456343[[#This Row],[จำนวนเงิน]]-$H$4</f>
        <v>75</v>
      </c>
    </row>
    <row r="4" spans="1:8">
      <c r="A4">
        <v>3</v>
      </c>
      <c r="B4" t="s">
        <v>7</v>
      </c>
      <c r="C4" s="1">
        <v>8.3333333333333301E-2</v>
      </c>
      <c r="D4" s="2">
        <v>2500</v>
      </c>
      <c r="E4" s="2">
        <f>Table13456343[[#This Row],[จำนวนเงิน]]-$H$4</f>
        <v>2475</v>
      </c>
      <c r="G4" t="s">
        <v>38</v>
      </c>
      <c r="H4">
        <v>25</v>
      </c>
    </row>
    <row r="5" spans="1:8">
      <c r="A5">
        <v>4</v>
      </c>
      <c r="B5" t="s">
        <v>8</v>
      </c>
      <c r="C5" s="1">
        <v>0.125</v>
      </c>
      <c r="D5" s="2">
        <v>250</v>
      </c>
      <c r="E5" s="2">
        <f>Table13456343[[#This Row],[จำนวนเงิน]]-$H$4</f>
        <v>225</v>
      </c>
      <c r="G5" t="s">
        <v>9</v>
      </c>
      <c r="H5">
        <f>COUNTA(Table13456343[ลำดับที่])</f>
        <v>26</v>
      </c>
    </row>
    <row r="6" spans="1:8">
      <c r="A6">
        <v>5</v>
      </c>
      <c r="B6" t="s">
        <v>10</v>
      </c>
      <c r="C6" s="1">
        <v>0.16666666666666699</v>
      </c>
      <c r="D6" s="2">
        <v>10</v>
      </c>
      <c r="E6" s="2">
        <f>Table13456343[[#This Row],[จำนวนเงิน]]-$H$4</f>
        <v>-15</v>
      </c>
      <c r="G6" t="s">
        <v>11</v>
      </c>
      <c r="H6">
        <f>AVERAGE([1]!Table1[จำนวนเงิน])</f>
        <v>2487.5416666666665</v>
      </c>
    </row>
    <row r="7" spans="1:8">
      <c r="A7">
        <v>6</v>
      </c>
      <c r="B7" t="s">
        <v>12</v>
      </c>
      <c r="C7" s="1">
        <v>0.20833333333333301</v>
      </c>
      <c r="D7" s="2">
        <v>50</v>
      </c>
      <c r="E7" s="2">
        <f>Table13456343[[#This Row],[จำนวนเงิน]]-$H$4</f>
        <v>25</v>
      </c>
      <c r="G7" t="s">
        <v>13</v>
      </c>
      <c r="H7" s="2">
        <f>MAX(Table13456343[จำนวนเงิน])</f>
        <v>50000</v>
      </c>
    </row>
    <row r="8" spans="1:8">
      <c r="A8">
        <v>7</v>
      </c>
      <c r="B8" t="s">
        <v>14</v>
      </c>
      <c r="C8" s="1">
        <v>0.25</v>
      </c>
      <c r="D8" s="2">
        <v>150</v>
      </c>
      <c r="E8" s="2">
        <f>Table13456343[[#This Row],[จำนวนเงิน]]-$H$4</f>
        <v>125</v>
      </c>
      <c r="G8" t="s">
        <v>15</v>
      </c>
      <c r="H8" s="2">
        <f>MIN(Table13456343[จำนวนเงิน])</f>
        <v>10</v>
      </c>
    </row>
    <row r="9" spans="1:8">
      <c r="A9">
        <v>8</v>
      </c>
      <c r="B9" t="s">
        <v>16</v>
      </c>
      <c r="C9" s="1">
        <v>0.29166666666666702</v>
      </c>
      <c r="D9" s="2">
        <v>1500</v>
      </c>
      <c r="E9" s="2">
        <f>Table13456343[[#This Row],[จำนวนเงิน]]-$H$4</f>
        <v>1475</v>
      </c>
    </row>
    <row r="10" spans="1:8">
      <c r="A10">
        <v>9</v>
      </c>
      <c r="B10" t="s">
        <v>17</v>
      </c>
      <c r="C10" s="1">
        <v>0.33333333333333298</v>
      </c>
      <c r="D10" s="2">
        <v>250</v>
      </c>
      <c r="E10" s="2">
        <f>Table13456343[[#This Row],[จำนวนเงิน]]-$H$4</f>
        <v>225</v>
      </c>
      <c r="G10" s="3" t="s">
        <v>18</v>
      </c>
      <c r="H10" s="3"/>
    </row>
    <row r="11" spans="1:8">
      <c r="A11">
        <v>10</v>
      </c>
      <c r="B11" t="s">
        <v>19</v>
      </c>
      <c r="C11" s="1">
        <v>0.375</v>
      </c>
      <c r="D11" s="2">
        <v>450</v>
      </c>
      <c r="E11" s="2">
        <f>Table13456343[[#This Row],[จำนวนเงิน]]-$H$4</f>
        <v>425</v>
      </c>
      <c r="G11" t="s">
        <v>20</v>
      </c>
      <c r="H11">
        <v>20</v>
      </c>
    </row>
    <row r="12" spans="1:8">
      <c r="A12">
        <v>11</v>
      </c>
      <c r="B12" t="s">
        <v>21</v>
      </c>
      <c r="C12" s="1">
        <v>0.41666666666666702</v>
      </c>
      <c r="D12" s="2">
        <v>700</v>
      </c>
      <c r="E12" s="2">
        <f>Table13456343[[#This Row],[จำนวนเงิน]]-$H$4</f>
        <v>675</v>
      </c>
      <c r="G12" t="s">
        <v>2</v>
      </c>
      <c r="H12" t="str" cm="1">
        <f t="array" ref="H12">INDEX(B2:B25,H11)</f>
        <v>t</v>
      </c>
    </row>
    <row r="13" spans="1:8">
      <c r="A13">
        <v>12</v>
      </c>
      <c r="B13" t="s">
        <v>22</v>
      </c>
      <c r="C13" s="1">
        <v>0.45833333333333298</v>
      </c>
      <c r="D13" s="2">
        <v>982</v>
      </c>
      <c r="E13" s="2">
        <f>Table13456343[[#This Row],[จำนวนเงิน]]-$H$4</f>
        <v>957</v>
      </c>
      <c r="G13" t="s">
        <v>23</v>
      </c>
      <c r="H13" cm="1">
        <f t="array" ref="H13">INDEX(D2:D25,H11)</f>
        <v>150</v>
      </c>
    </row>
    <row r="14" spans="1:8">
      <c r="A14">
        <v>13</v>
      </c>
      <c r="B14" t="s">
        <v>24</v>
      </c>
      <c r="C14" s="1">
        <v>0.5</v>
      </c>
      <c r="D14" s="2">
        <v>500</v>
      </c>
      <c r="E14" s="2">
        <f>Table13456343[[#This Row],[จำนวนเงิน]]-$H$4</f>
        <v>475</v>
      </c>
    </row>
    <row r="15" spans="1:8">
      <c r="A15">
        <v>14</v>
      </c>
      <c r="B15" t="s">
        <v>25</v>
      </c>
      <c r="C15" s="1">
        <v>0.54166666666666696</v>
      </c>
      <c r="D15" s="2">
        <v>100</v>
      </c>
      <c r="E15" s="2">
        <f>Table13456343[[#This Row],[จำนวนเงิน]]-$H$4</f>
        <v>75</v>
      </c>
    </row>
    <row r="16" spans="1:8">
      <c r="A16">
        <v>15</v>
      </c>
      <c r="B16" t="s">
        <v>26</v>
      </c>
      <c r="C16" s="1">
        <v>0.58333333333333304</v>
      </c>
      <c r="D16" s="2">
        <v>50</v>
      </c>
      <c r="E16" s="2">
        <f>Table13456343[[#This Row],[จำนวนเงิน]]-$H$4</f>
        <v>25</v>
      </c>
    </row>
    <row r="17" spans="1:5">
      <c r="A17">
        <v>16</v>
      </c>
      <c r="B17" t="s">
        <v>27</v>
      </c>
      <c r="C17" s="1">
        <v>0.625</v>
      </c>
      <c r="D17" s="2">
        <v>250</v>
      </c>
      <c r="E17" s="2">
        <f>Table13456343[[#This Row],[จำนวนเงิน]]-$H$4</f>
        <v>225</v>
      </c>
    </row>
    <row r="18" spans="1:5">
      <c r="A18">
        <v>17</v>
      </c>
      <c r="B18" t="s">
        <v>28</v>
      </c>
      <c r="C18" s="1">
        <v>0.66666666666666696</v>
      </c>
      <c r="D18" s="2">
        <v>100</v>
      </c>
      <c r="E18" s="2">
        <f>Table13456343[[#This Row],[จำนวนเงิน]]-$H$4</f>
        <v>75</v>
      </c>
    </row>
    <row r="19" spans="1:5">
      <c r="A19">
        <v>18</v>
      </c>
      <c r="B19" t="s">
        <v>29</v>
      </c>
      <c r="C19" s="1">
        <v>0.70833333333333304</v>
      </c>
      <c r="D19" s="2">
        <v>99</v>
      </c>
      <c r="E19" s="2">
        <f>Table13456343[[#This Row],[จำนวนเงิน]]-$H$4</f>
        <v>74</v>
      </c>
    </row>
    <row r="20" spans="1:5">
      <c r="A20">
        <v>19</v>
      </c>
      <c r="B20" t="s">
        <v>30</v>
      </c>
      <c r="C20" s="1">
        <v>0.75</v>
      </c>
      <c r="D20" s="2">
        <v>120</v>
      </c>
      <c r="E20" s="2">
        <f>Table13456343[[#This Row],[จำนวนเงิน]]-$H$4</f>
        <v>95</v>
      </c>
    </row>
    <row r="21" spans="1:5">
      <c r="A21">
        <v>20</v>
      </c>
      <c r="B21" t="s">
        <v>31</v>
      </c>
      <c r="C21" s="1">
        <v>0.79166666666666596</v>
      </c>
      <c r="D21" s="2">
        <v>150</v>
      </c>
      <c r="E21" s="2">
        <f>Table13456343[[#This Row],[จำนวนเงิน]]-$H$4</f>
        <v>125</v>
      </c>
    </row>
    <row r="22" spans="1:5">
      <c r="A22">
        <v>21</v>
      </c>
      <c r="B22" t="s">
        <v>32</v>
      </c>
      <c r="C22" s="1">
        <v>0.83333333333333304</v>
      </c>
      <c r="D22" s="2">
        <v>340</v>
      </c>
      <c r="E22" s="2">
        <f>Table13456343[[#This Row],[จำนวนเงิน]]-$H$4</f>
        <v>315</v>
      </c>
    </row>
    <row r="23" spans="1:5">
      <c r="A23">
        <v>22</v>
      </c>
      <c r="B23" t="s">
        <v>33</v>
      </c>
      <c r="C23" s="1">
        <v>0.875</v>
      </c>
      <c r="D23" s="2">
        <v>400</v>
      </c>
      <c r="E23" s="2">
        <f>Table13456343[[#This Row],[จำนวนเงิน]]-$H$4</f>
        <v>375</v>
      </c>
    </row>
    <row r="24" spans="1:5">
      <c r="A24">
        <v>23</v>
      </c>
      <c r="B24" t="s">
        <v>34</v>
      </c>
      <c r="C24" s="1">
        <v>0.91666666666666596</v>
      </c>
      <c r="D24" s="2">
        <v>500</v>
      </c>
      <c r="E24" s="2">
        <f>Table13456343[[#This Row],[จำนวนเงิน]]-$H$4</f>
        <v>475</v>
      </c>
    </row>
    <row r="25" spans="1:5">
      <c r="A25">
        <v>24</v>
      </c>
      <c r="B25" t="s">
        <v>35</v>
      </c>
      <c r="C25" s="1">
        <v>0.95833333333333304</v>
      </c>
      <c r="D25" s="2">
        <v>50000</v>
      </c>
      <c r="E25" s="2">
        <f>Table13456343[[#This Row],[จำนวนเงิน]]-$H$4</f>
        <v>49975</v>
      </c>
    </row>
    <row r="26" spans="1:5">
      <c r="A26">
        <v>25</v>
      </c>
      <c r="C26" s="1"/>
      <c r="D26" s="2"/>
      <c r="E26" s="2">
        <f>Table13456343[[#This Row],[จำนวนเงิน]]-$H$4</f>
        <v>-25</v>
      </c>
    </row>
    <row r="27" spans="1:5">
      <c r="A27">
        <v>26</v>
      </c>
      <c r="C27" s="1"/>
      <c r="D27" s="2"/>
      <c r="E27" s="2">
        <f>Table13456343[[#This Row],[จำนวนเงิน]]-$H$4</f>
        <v>-25</v>
      </c>
    </row>
    <row r="28" spans="1:5">
      <c r="A28" t="s">
        <v>36</v>
      </c>
      <c r="D28" s="2">
        <f>SUBTOTAL(109,Table13456343[จำนวนเงิน])</f>
        <v>59701</v>
      </c>
    </row>
    <row r="29" spans="1:5">
      <c r="C29" t="s">
        <v>37</v>
      </c>
      <c r="D29" t="str">
        <f>BAHTTEXT(Table13456343[[#Totals],[จำนวนเงิน]])</f>
        <v>ห้าหมื่นเก้าพันเจ็ดร้อยเอ็ดบาทถ้วน</v>
      </c>
    </row>
    <row r="30" spans="1:5">
      <c r="C30" t="s">
        <v>38</v>
      </c>
      <c r="D30" t="str">
        <f>IF(Table13456343[[#Totals],[จำนวนเงิน]] &gt;= 50000, "ซื้อ &gt;= 50000 ได้รับส่วนลด 10%", "ซื้อ &lt; 50000 รับส่วนลด 5%")</f>
        <v>ซื้อ &gt;= 50000 ได้รับส่วนลด 10%</v>
      </c>
    </row>
    <row r="31" spans="1:5">
      <c r="C31" t="s">
        <v>39</v>
      </c>
      <c r="D31" s="2">
        <f>IF(Table13456343[[#Totals],[จำนวนเงิน]] &gt;= 50000, Table13456343[[#Totals],[จำนวนเงิน]]*0.9, Table13456343[[#Totals],[จำนวนเงิน]]*0.95)</f>
        <v>53730.9</v>
      </c>
      <c r="E31" s="2"/>
    </row>
  </sheetData>
  <mergeCells count="1">
    <mergeCell ref="G10:H10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B7FA-F092-4530-B278-5E5388F4252B}">
  <dimension ref="A1:H29"/>
  <sheetViews>
    <sheetView workbookViewId="0">
      <selection activeCell="G27" sqref="G27"/>
    </sheetView>
  </sheetViews>
  <sheetFormatPr defaultRowHeight="14.4"/>
  <cols>
    <col min="1" max="1" width="9.77734375" bestFit="1" customWidth="1"/>
    <col min="2" max="2" width="11" bestFit="1" customWidth="1"/>
    <col min="3" max="3" width="19.109375" bestFit="1" customWidth="1"/>
    <col min="4" max="4" width="23.33203125" bestFit="1" customWidth="1"/>
    <col min="5" max="5" width="11.33203125" bestFit="1" customWidth="1"/>
    <col min="7" max="7" width="19" bestFit="1" customWidth="1"/>
    <col min="8" max="8" width="12" bestFit="1" customWidth="1"/>
  </cols>
  <sheetData>
    <row r="1" spans="1:8">
      <c r="A1" t="s">
        <v>1</v>
      </c>
      <c r="B1" t="s">
        <v>2</v>
      </c>
      <c r="C1" s="1" t="s">
        <v>3</v>
      </c>
      <c r="D1" t="s">
        <v>4</v>
      </c>
      <c r="E1" t="s">
        <v>38</v>
      </c>
    </row>
    <row r="2" spans="1:8">
      <c r="A2">
        <v>1</v>
      </c>
      <c r="B2" t="s">
        <v>5</v>
      </c>
      <c r="C2" s="1">
        <v>0</v>
      </c>
      <c r="D2" s="2">
        <v>150</v>
      </c>
      <c r="E2" s="2">
        <f>Table134563434[[#This Row],[จำนวนเงิน]]-$H$4</f>
        <v>125</v>
      </c>
    </row>
    <row r="3" spans="1:8">
      <c r="A3">
        <v>2</v>
      </c>
      <c r="B3" t="s">
        <v>6</v>
      </c>
      <c r="C3" s="1">
        <v>4.1666666666666664E-2</v>
      </c>
      <c r="D3" s="2">
        <v>100</v>
      </c>
      <c r="E3" s="2">
        <f>Table134563434[[#This Row],[จำนวนเงิน]]-$H$4</f>
        <v>75</v>
      </c>
    </row>
    <row r="4" spans="1:8">
      <c r="A4">
        <v>3</v>
      </c>
      <c r="B4" t="s">
        <v>7</v>
      </c>
      <c r="C4" s="1">
        <v>8.3333333333333301E-2</v>
      </c>
      <c r="D4" s="2">
        <v>2500</v>
      </c>
      <c r="E4" s="2">
        <f>Table134563434[[#This Row],[จำนวนเงิน]]-$H$4</f>
        <v>2475</v>
      </c>
      <c r="G4" t="s">
        <v>38</v>
      </c>
      <c r="H4">
        <v>25</v>
      </c>
    </row>
    <row r="5" spans="1:8">
      <c r="A5">
        <v>4</v>
      </c>
      <c r="B5" t="s">
        <v>8</v>
      </c>
      <c r="C5" s="1">
        <v>0.125</v>
      </c>
      <c r="D5" s="2">
        <v>250</v>
      </c>
      <c r="E5" s="2">
        <f>Table134563434[[#This Row],[จำนวนเงิน]]-$H$4</f>
        <v>225</v>
      </c>
      <c r="G5" t="s">
        <v>9</v>
      </c>
      <c r="H5">
        <f>COUNTA(Table134563434[ลำดับที่])</f>
        <v>24</v>
      </c>
    </row>
    <row r="6" spans="1:8">
      <c r="A6">
        <v>5</v>
      </c>
      <c r="B6" t="s">
        <v>10</v>
      </c>
      <c r="C6" s="1">
        <v>0.16666666666666699</v>
      </c>
      <c r="D6" s="2">
        <v>10</v>
      </c>
      <c r="E6" s="2">
        <f>Table134563434[[#This Row],[จำนวนเงิน]]-$H$4</f>
        <v>-15</v>
      </c>
      <c r="G6" t="s">
        <v>11</v>
      </c>
      <c r="H6">
        <f>AVERAGE([1]!Table1[จำนวนเงิน])</f>
        <v>2487.5416666666665</v>
      </c>
    </row>
    <row r="7" spans="1:8">
      <c r="A7">
        <v>6</v>
      </c>
      <c r="B7" t="s">
        <v>12</v>
      </c>
      <c r="C7" s="1">
        <v>0.20833333333333301</v>
      </c>
      <c r="D7" s="2">
        <v>50</v>
      </c>
      <c r="E7" s="2">
        <f>Table134563434[[#This Row],[จำนวนเงิน]]-$H$4</f>
        <v>25</v>
      </c>
      <c r="G7" t="s">
        <v>13</v>
      </c>
      <c r="H7" s="2">
        <f>MAX(Table134563434[จำนวนเงิน])</f>
        <v>50000</v>
      </c>
    </row>
    <row r="8" spans="1:8">
      <c r="A8">
        <v>7</v>
      </c>
      <c r="B8" t="s">
        <v>14</v>
      </c>
      <c r="C8" s="1">
        <v>0.25</v>
      </c>
      <c r="D8" s="2">
        <v>150</v>
      </c>
      <c r="E8" s="2">
        <f>Table134563434[[#This Row],[จำนวนเงิน]]-$H$4</f>
        <v>125</v>
      </c>
      <c r="G8" t="s">
        <v>15</v>
      </c>
      <c r="H8" s="2">
        <f>MIN(Table134563434[จำนวนเงิน])</f>
        <v>10</v>
      </c>
    </row>
    <row r="9" spans="1:8">
      <c r="A9">
        <v>8</v>
      </c>
      <c r="B9" t="s">
        <v>16</v>
      </c>
      <c r="C9" s="1">
        <v>0.29166666666666702</v>
      </c>
      <c r="D9" s="2">
        <v>1500</v>
      </c>
      <c r="E9" s="2">
        <f>Table134563434[[#This Row],[จำนวนเงิน]]-$H$4</f>
        <v>1475</v>
      </c>
    </row>
    <row r="10" spans="1:8">
      <c r="A10">
        <v>9</v>
      </c>
      <c r="B10" t="s">
        <v>17</v>
      </c>
      <c r="C10" s="1">
        <v>0.33333333333333298</v>
      </c>
      <c r="D10" s="2">
        <v>250</v>
      </c>
      <c r="E10" s="2">
        <f>Table134563434[[#This Row],[จำนวนเงิน]]-$H$4</f>
        <v>225</v>
      </c>
      <c r="G10" s="3" t="s">
        <v>18</v>
      </c>
      <c r="H10" s="3"/>
    </row>
    <row r="11" spans="1:8">
      <c r="A11">
        <v>10</v>
      </c>
      <c r="B11" t="s">
        <v>19</v>
      </c>
      <c r="C11" s="1">
        <v>0.375</v>
      </c>
      <c r="D11" s="2">
        <v>450</v>
      </c>
      <c r="E11" s="2">
        <f>Table134563434[[#This Row],[จำนวนเงิน]]-$H$4</f>
        <v>425</v>
      </c>
      <c r="G11" t="s">
        <v>20</v>
      </c>
      <c r="H11">
        <v>20</v>
      </c>
    </row>
    <row r="12" spans="1:8">
      <c r="A12">
        <v>11</v>
      </c>
      <c r="B12" t="s">
        <v>21</v>
      </c>
      <c r="C12" s="1">
        <v>0.41666666666666702</v>
      </c>
      <c r="D12" s="2">
        <v>700</v>
      </c>
      <c r="E12" s="2">
        <f>Table134563434[[#This Row],[จำนวนเงิน]]-$H$4</f>
        <v>675</v>
      </c>
      <c r="G12" t="s">
        <v>2</v>
      </c>
      <c r="H12" t="str" cm="1">
        <f t="array" ref="H12">INDEX(B2:B25,H11)</f>
        <v>t</v>
      </c>
    </row>
    <row r="13" spans="1:8">
      <c r="A13">
        <v>12</v>
      </c>
      <c r="B13" t="s">
        <v>22</v>
      </c>
      <c r="C13" s="1">
        <v>0.45833333333333298</v>
      </c>
      <c r="D13" s="2">
        <v>982</v>
      </c>
      <c r="E13" s="2">
        <f>Table134563434[[#This Row],[จำนวนเงิน]]-$H$4</f>
        <v>957</v>
      </c>
      <c r="G13" t="s">
        <v>23</v>
      </c>
      <c r="H13" cm="1">
        <f t="array" ref="H13">INDEX(D2:D25,H11)</f>
        <v>150</v>
      </c>
    </row>
    <row r="14" spans="1:8">
      <c r="A14">
        <v>13</v>
      </c>
      <c r="B14" t="s">
        <v>24</v>
      </c>
      <c r="C14" s="1">
        <v>0.5</v>
      </c>
      <c r="D14" s="2">
        <v>500</v>
      </c>
      <c r="E14" s="2">
        <f>Table134563434[[#This Row],[จำนวนเงิน]]-$H$4</f>
        <v>475</v>
      </c>
    </row>
    <row r="15" spans="1:8">
      <c r="A15">
        <v>14</v>
      </c>
      <c r="B15" t="s">
        <v>25</v>
      </c>
      <c r="C15" s="1">
        <v>0.54166666666666696</v>
      </c>
      <c r="D15" s="2">
        <v>100</v>
      </c>
      <c r="E15" s="2">
        <f>Table134563434[[#This Row],[จำนวนเงิน]]-$H$4</f>
        <v>75</v>
      </c>
    </row>
    <row r="16" spans="1:8">
      <c r="A16">
        <v>15</v>
      </c>
      <c r="B16" t="s">
        <v>26</v>
      </c>
      <c r="C16" s="1">
        <v>0.58333333333333304</v>
      </c>
      <c r="D16" s="2">
        <v>50</v>
      </c>
      <c r="E16" s="2">
        <f>Table134563434[[#This Row],[จำนวนเงิน]]-$H$4</f>
        <v>25</v>
      </c>
    </row>
    <row r="17" spans="1:5">
      <c r="A17">
        <v>16</v>
      </c>
      <c r="B17" t="s">
        <v>27</v>
      </c>
      <c r="C17" s="1">
        <v>0.625</v>
      </c>
      <c r="D17" s="2">
        <v>250</v>
      </c>
      <c r="E17" s="2">
        <f>Table134563434[[#This Row],[จำนวนเงิน]]-$H$4</f>
        <v>225</v>
      </c>
    </row>
    <row r="18" spans="1:5">
      <c r="A18">
        <v>17</v>
      </c>
      <c r="B18" t="s">
        <v>28</v>
      </c>
      <c r="C18" s="1">
        <v>0.66666666666666696</v>
      </c>
      <c r="D18" s="2">
        <v>100</v>
      </c>
      <c r="E18" s="2">
        <f>Table134563434[[#This Row],[จำนวนเงิน]]-$H$4</f>
        <v>75</v>
      </c>
    </row>
    <row r="19" spans="1:5">
      <c r="A19">
        <v>18</v>
      </c>
      <c r="B19" t="s">
        <v>29</v>
      </c>
      <c r="C19" s="1">
        <v>0.70833333333333304</v>
      </c>
      <c r="D19" s="2">
        <v>99</v>
      </c>
      <c r="E19" s="2">
        <f>Table134563434[[#This Row],[จำนวนเงิน]]-$H$4</f>
        <v>74</v>
      </c>
    </row>
    <row r="20" spans="1:5">
      <c r="A20">
        <v>19</v>
      </c>
      <c r="B20" t="s">
        <v>30</v>
      </c>
      <c r="C20" s="1">
        <v>0.75</v>
      </c>
      <c r="D20" s="2">
        <v>120</v>
      </c>
      <c r="E20" s="2">
        <f>Table134563434[[#This Row],[จำนวนเงิน]]-$H$4</f>
        <v>95</v>
      </c>
    </row>
    <row r="21" spans="1:5">
      <c r="A21">
        <v>20</v>
      </c>
      <c r="B21" t="s">
        <v>31</v>
      </c>
      <c r="C21" s="1">
        <v>0.79166666666666596</v>
      </c>
      <c r="D21" s="2">
        <v>150</v>
      </c>
      <c r="E21" s="2">
        <f>Table134563434[[#This Row],[จำนวนเงิน]]-$H$4</f>
        <v>125</v>
      </c>
    </row>
    <row r="22" spans="1:5">
      <c r="A22">
        <v>21</v>
      </c>
      <c r="B22" t="s">
        <v>32</v>
      </c>
      <c r="C22" s="1">
        <v>0.83333333333333304</v>
      </c>
      <c r="D22" s="2">
        <v>340</v>
      </c>
      <c r="E22" s="2">
        <f>Table134563434[[#This Row],[จำนวนเงิน]]-$H$4</f>
        <v>315</v>
      </c>
    </row>
    <row r="23" spans="1:5">
      <c r="A23">
        <v>22</v>
      </c>
      <c r="B23" t="s">
        <v>33</v>
      </c>
      <c r="C23" s="1">
        <v>0.875</v>
      </c>
      <c r="D23" s="2">
        <v>400</v>
      </c>
      <c r="E23" s="2">
        <f>Table134563434[[#This Row],[จำนวนเงิน]]-$H$4</f>
        <v>375</v>
      </c>
    </row>
    <row r="24" spans="1:5">
      <c r="A24">
        <v>23</v>
      </c>
      <c r="B24" t="s">
        <v>34</v>
      </c>
      <c r="C24" s="1">
        <v>0.91666666666666596</v>
      </c>
      <c r="D24" s="2">
        <v>500</v>
      </c>
      <c r="E24" s="2">
        <f>Table134563434[[#This Row],[จำนวนเงิน]]-$H$4</f>
        <v>475</v>
      </c>
    </row>
    <row r="25" spans="1:5">
      <c r="A25">
        <v>24</v>
      </c>
      <c r="B25" t="s">
        <v>35</v>
      </c>
      <c r="C25" s="1">
        <v>0.95833333333333304</v>
      </c>
      <c r="D25" s="2">
        <v>50000</v>
      </c>
      <c r="E25" s="2">
        <f>Table134563434[[#This Row],[จำนวนเงิน]]-$H$4</f>
        <v>49975</v>
      </c>
    </row>
    <row r="26" spans="1:5">
      <c r="A26" t="s">
        <v>36</v>
      </c>
      <c r="D26" s="2">
        <f>SUBTOTAL(109,Table134563434[จำนวนเงิน])</f>
        <v>59701</v>
      </c>
    </row>
    <row r="27" spans="1:5">
      <c r="C27" t="s">
        <v>37</v>
      </c>
      <c r="D27" t="str">
        <f>BAHTTEXT(Table134563434[[#Totals],[จำนวนเงิน]])</f>
        <v>ห้าหมื่นเก้าพันเจ็ดร้อยเอ็ดบาทถ้วน</v>
      </c>
    </row>
    <row r="28" spans="1:5">
      <c r="C28" t="s">
        <v>38</v>
      </c>
      <c r="D28" t="str">
        <f>IF(Table134563434[[#Totals],[จำนวนเงิน]] &gt;= 50000, "ซื้อ &gt;= 50000 ได้รับส่วนลด 10%", "ซื้อ &lt; 50000 รับส่วนลด 5%")</f>
        <v>ซื้อ &gt;= 50000 ได้รับส่วนลด 10%</v>
      </c>
    </row>
    <row r="29" spans="1:5">
      <c r="C29" t="s">
        <v>39</v>
      </c>
      <c r="D29" s="2">
        <f>IF(Table134563434[[#Totals],[จำนวนเงิน]] &gt;= 50000, Table134563434[[#Totals],[จำนวนเงิน]]*0.9, Table134563434[[#Totals],[จำนวนเงิน]]*0.95)</f>
        <v>53730.9</v>
      </c>
      <c r="E29" s="2"/>
    </row>
  </sheetData>
  <mergeCells count="1">
    <mergeCell ref="G10:H10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903B-5443-4C36-A4F1-ACE326B88E17}">
  <dimension ref="A1:H29"/>
  <sheetViews>
    <sheetView workbookViewId="0">
      <selection activeCell="G22" sqref="G22"/>
    </sheetView>
  </sheetViews>
  <sheetFormatPr defaultRowHeight="14.4"/>
  <cols>
    <col min="1" max="1" width="9.77734375" bestFit="1" customWidth="1"/>
    <col min="2" max="2" width="11" bestFit="1" customWidth="1"/>
    <col min="3" max="3" width="19.109375" bestFit="1" customWidth="1"/>
    <col min="4" max="4" width="29.6640625" bestFit="1" customWidth="1"/>
    <col min="5" max="5" width="11.33203125" bestFit="1" customWidth="1"/>
    <col min="7" max="7" width="19" bestFit="1" customWidth="1"/>
    <col min="8" max="8" width="12" bestFit="1" customWidth="1"/>
  </cols>
  <sheetData>
    <row r="1" spans="1:8">
      <c r="A1" t="s">
        <v>1</v>
      </c>
      <c r="B1" t="s">
        <v>2</v>
      </c>
      <c r="C1" s="1" t="s">
        <v>3</v>
      </c>
      <c r="D1" t="s">
        <v>4</v>
      </c>
      <c r="E1" t="s">
        <v>38</v>
      </c>
    </row>
    <row r="2" spans="1:8">
      <c r="A2">
        <v>1</v>
      </c>
      <c r="B2" t="s">
        <v>40</v>
      </c>
      <c r="C2" s="1">
        <v>0</v>
      </c>
      <c r="D2" s="2">
        <v>150</v>
      </c>
      <c r="E2" s="2">
        <f>Table1345634345[[#This Row],[จำนวนเงิน]]-$H$4</f>
        <v>125</v>
      </c>
    </row>
    <row r="3" spans="1:8">
      <c r="A3">
        <v>2</v>
      </c>
      <c r="B3" t="s">
        <v>6</v>
      </c>
      <c r="C3" s="1">
        <v>4.1666666666666664E-2</v>
      </c>
      <c r="D3" s="2">
        <v>100</v>
      </c>
      <c r="E3" s="2">
        <f>Table1345634345[[#This Row],[จำนวนเงิน]]-$H$4</f>
        <v>75</v>
      </c>
    </row>
    <row r="4" spans="1:8">
      <c r="A4">
        <v>3</v>
      </c>
      <c r="B4" t="s">
        <v>7</v>
      </c>
      <c r="C4" s="1">
        <v>8.3333333333333301E-2</v>
      </c>
      <c r="D4" s="2">
        <v>2500</v>
      </c>
      <c r="E4" s="2">
        <f>Table1345634345[[#This Row],[จำนวนเงิน]]-$H$4</f>
        <v>2475</v>
      </c>
      <c r="G4" t="s">
        <v>38</v>
      </c>
      <c r="H4">
        <v>25</v>
      </c>
    </row>
    <row r="5" spans="1:8">
      <c r="A5">
        <v>4</v>
      </c>
      <c r="B5" t="s">
        <v>8</v>
      </c>
      <c r="C5" s="1">
        <v>0.125</v>
      </c>
      <c r="D5" s="2">
        <v>250</v>
      </c>
      <c r="E5" s="2">
        <f>Table1345634345[[#This Row],[จำนวนเงิน]]-$H$4</f>
        <v>225</v>
      </c>
      <c r="G5" t="s">
        <v>9</v>
      </c>
      <c r="H5">
        <f>COUNTA(Table1345634345[ลำดับที่])</f>
        <v>24</v>
      </c>
    </row>
    <row r="6" spans="1:8">
      <c r="A6">
        <v>5</v>
      </c>
      <c r="B6" t="s">
        <v>10</v>
      </c>
      <c r="C6" s="1">
        <v>0.16666666666666699</v>
      </c>
      <c r="D6" s="2">
        <v>10</v>
      </c>
      <c r="E6" s="2">
        <f>Table1345634345[[#This Row],[จำนวนเงิน]]-$H$4</f>
        <v>-15</v>
      </c>
      <c r="G6" t="s">
        <v>11</v>
      </c>
      <c r="H6">
        <f>AVERAGE([1]!Table1[จำนวนเงิน])</f>
        <v>2487.5416666666665</v>
      </c>
    </row>
    <row r="7" spans="1:8">
      <c r="A7">
        <v>6</v>
      </c>
      <c r="B7" t="s">
        <v>12</v>
      </c>
      <c r="C7" s="1">
        <v>0.20833333333333301</v>
      </c>
      <c r="D7" s="2">
        <v>50</v>
      </c>
      <c r="E7" s="2">
        <f>Table1345634345[[#This Row],[จำนวนเงิน]]-$H$4</f>
        <v>25</v>
      </c>
      <c r="G7" t="s">
        <v>13</v>
      </c>
      <c r="H7" s="2">
        <f>MAX(Table1345634345[จำนวนเงิน])</f>
        <v>50000</v>
      </c>
    </row>
    <row r="8" spans="1:8">
      <c r="A8">
        <v>7</v>
      </c>
      <c r="B8" t="s">
        <v>14</v>
      </c>
      <c r="C8" s="1">
        <v>0.25</v>
      </c>
      <c r="D8" s="2">
        <v>150</v>
      </c>
      <c r="E8" s="2">
        <f>Table1345634345[[#This Row],[จำนวนเงิน]]-$H$4</f>
        <v>125</v>
      </c>
      <c r="G8" t="s">
        <v>15</v>
      </c>
      <c r="H8" s="2">
        <f>MIN(Table1345634345[จำนวนเงิน])</f>
        <v>10</v>
      </c>
    </row>
    <row r="9" spans="1:8">
      <c r="A9">
        <v>8</v>
      </c>
      <c r="B9" t="s">
        <v>16</v>
      </c>
      <c r="C9" s="1">
        <v>0.29166666666666702</v>
      </c>
      <c r="D9" s="2">
        <v>1500</v>
      </c>
      <c r="E9" s="2">
        <f>Table1345634345[[#This Row],[จำนวนเงิน]]-$H$4</f>
        <v>1475</v>
      </c>
    </row>
    <row r="10" spans="1:8">
      <c r="A10">
        <v>9</v>
      </c>
      <c r="B10" t="s">
        <v>17</v>
      </c>
      <c r="C10" s="1">
        <v>0.33333333333333298</v>
      </c>
      <c r="D10" s="2">
        <v>250</v>
      </c>
      <c r="E10" s="2">
        <f>Table1345634345[[#This Row],[จำนวนเงิน]]-$H$4</f>
        <v>225</v>
      </c>
      <c r="G10" s="3" t="s">
        <v>18</v>
      </c>
      <c r="H10" s="3"/>
    </row>
    <row r="11" spans="1:8">
      <c r="A11">
        <v>10</v>
      </c>
      <c r="B11" t="s">
        <v>19</v>
      </c>
      <c r="C11" s="1">
        <v>0.375</v>
      </c>
      <c r="D11" s="2">
        <v>450</v>
      </c>
      <c r="E11" s="2">
        <f>Table1345634345[[#This Row],[จำนวนเงิน]]-$H$4</f>
        <v>425</v>
      </c>
      <c r="G11" t="s">
        <v>20</v>
      </c>
      <c r="H11">
        <v>20</v>
      </c>
    </row>
    <row r="12" spans="1:8">
      <c r="A12">
        <v>11</v>
      </c>
      <c r="B12" t="s">
        <v>21</v>
      </c>
      <c r="C12" s="1">
        <v>0.41666666666666702</v>
      </c>
      <c r="D12" s="2">
        <v>700</v>
      </c>
      <c r="E12" s="2">
        <f>Table1345634345[[#This Row],[จำนวนเงิน]]-$H$4</f>
        <v>675</v>
      </c>
      <c r="G12" t="s">
        <v>2</v>
      </c>
      <c r="H12" t="str" cm="1">
        <f t="array" ref="H12">INDEX(B2:B25,H11)</f>
        <v>t</v>
      </c>
    </row>
    <row r="13" spans="1:8">
      <c r="A13">
        <v>12</v>
      </c>
      <c r="B13" t="s">
        <v>22</v>
      </c>
      <c r="C13" s="1">
        <v>0.45833333333333298</v>
      </c>
      <c r="D13" s="2">
        <v>982</v>
      </c>
      <c r="E13" s="2">
        <f>Table1345634345[[#This Row],[จำนวนเงิน]]-$H$4</f>
        <v>957</v>
      </c>
      <c r="G13" t="s">
        <v>23</v>
      </c>
      <c r="H13" cm="1">
        <f t="array" ref="H13">INDEX(D2:D25,H11)</f>
        <v>150</v>
      </c>
    </row>
    <row r="14" spans="1:8">
      <c r="A14">
        <v>13</v>
      </c>
      <c r="B14" t="s">
        <v>24</v>
      </c>
      <c r="C14" s="1">
        <v>0.5</v>
      </c>
      <c r="D14" s="2">
        <v>500</v>
      </c>
      <c r="E14" s="2">
        <f>Table1345634345[[#This Row],[จำนวนเงิน]]-$H$4</f>
        <v>475</v>
      </c>
    </row>
    <row r="15" spans="1:8">
      <c r="A15">
        <v>14</v>
      </c>
      <c r="B15" t="s">
        <v>25</v>
      </c>
      <c r="C15" s="1">
        <v>0.54166666666666696</v>
      </c>
      <c r="D15" s="2">
        <v>100</v>
      </c>
      <c r="E15" s="2">
        <f>Table1345634345[[#This Row],[จำนวนเงิน]]-$H$4</f>
        <v>75</v>
      </c>
    </row>
    <row r="16" spans="1:8">
      <c r="A16">
        <v>15</v>
      </c>
      <c r="B16" t="s">
        <v>26</v>
      </c>
      <c r="C16" s="1">
        <v>0.58333333333333304</v>
      </c>
      <c r="D16" s="2">
        <v>50</v>
      </c>
      <c r="E16" s="2">
        <f>Table1345634345[[#This Row],[จำนวนเงิน]]-$H$4</f>
        <v>25</v>
      </c>
    </row>
    <row r="17" spans="1:5">
      <c r="A17">
        <v>16</v>
      </c>
      <c r="B17" t="s">
        <v>27</v>
      </c>
      <c r="C17" s="1">
        <v>0.625</v>
      </c>
      <c r="D17" s="2">
        <v>250</v>
      </c>
      <c r="E17" s="2">
        <f>Table1345634345[[#This Row],[จำนวนเงิน]]-$H$4</f>
        <v>225</v>
      </c>
    </row>
    <row r="18" spans="1:5">
      <c r="A18">
        <v>17</v>
      </c>
      <c r="B18" t="s">
        <v>28</v>
      </c>
      <c r="C18" s="1">
        <v>0.66666666666666696</v>
      </c>
      <c r="D18" s="2">
        <v>100</v>
      </c>
      <c r="E18" s="2">
        <f>Table1345634345[[#This Row],[จำนวนเงิน]]-$H$4</f>
        <v>75</v>
      </c>
    </row>
    <row r="19" spans="1:5">
      <c r="A19">
        <v>18</v>
      </c>
      <c r="B19" t="s">
        <v>29</v>
      </c>
      <c r="C19" s="1">
        <v>0.70833333333333304</v>
      </c>
      <c r="D19" s="2">
        <v>99</v>
      </c>
      <c r="E19" s="2">
        <f>Table1345634345[[#This Row],[จำนวนเงิน]]-$H$4</f>
        <v>74</v>
      </c>
    </row>
    <row r="20" spans="1:5">
      <c r="A20">
        <v>19</v>
      </c>
      <c r="B20" t="s">
        <v>30</v>
      </c>
      <c r="C20" s="1">
        <v>0.75</v>
      </c>
      <c r="D20" s="2">
        <v>120</v>
      </c>
      <c r="E20" s="2">
        <f>Table1345634345[[#This Row],[จำนวนเงิน]]-$H$4</f>
        <v>95</v>
      </c>
    </row>
    <row r="21" spans="1:5">
      <c r="A21">
        <v>20</v>
      </c>
      <c r="B21" t="s">
        <v>31</v>
      </c>
      <c r="C21" s="1">
        <v>0.79166666666666596</v>
      </c>
      <c r="D21" s="2">
        <v>150</v>
      </c>
      <c r="E21" s="2">
        <f>Table1345634345[[#This Row],[จำนวนเงิน]]-$H$4</f>
        <v>125</v>
      </c>
    </row>
    <row r="22" spans="1:5">
      <c r="A22">
        <v>21</v>
      </c>
      <c r="B22" t="s">
        <v>32</v>
      </c>
      <c r="C22" s="1">
        <v>0.83333333333333304</v>
      </c>
      <c r="D22" s="2">
        <v>340</v>
      </c>
      <c r="E22" s="2">
        <f>Table1345634345[[#This Row],[จำนวนเงิน]]-$H$4</f>
        <v>315</v>
      </c>
    </row>
    <row r="23" spans="1:5">
      <c r="A23">
        <v>22</v>
      </c>
      <c r="B23" t="s">
        <v>33</v>
      </c>
      <c r="C23" s="1">
        <v>0.875</v>
      </c>
      <c r="D23" s="2">
        <v>400</v>
      </c>
      <c r="E23" s="2">
        <f>Table1345634345[[#This Row],[จำนวนเงิน]]-$H$4</f>
        <v>375</v>
      </c>
    </row>
    <row r="24" spans="1:5">
      <c r="A24">
        <v>23</v>
      </c>
      <c r="B24" t="s">
        <v>34</v>
      </c>
      <c r="C24" s="1">
        <v>0.91666666666666596</v>
      </c>
      <c r="D24" s="2">
        <v>500</v>
      </c>
      <c r="E24" s="2">
        <f>Table1345634345[[#This Row],[จำนวนเงิน]]-$H$4</f>
        <v>475</v>
      </c>
    </row>
    <row r="25" spans="1:5">
      <c r="A25">
        <v>24</v>
      </c>
      <c r="B25" t="s">
        <v>35</v>
      </c>
      <c r="C25" s="1">
        <v>0.95833333333333304</v>
      </c>
      <c r="D25" s="2">
        <v>50000</v>
      </c>
      <c r="E25" s="2">
        <f>Table1345634345[[#This Row],[จำนวนเงิน]]-$H$4</f>
        <v>49975</v>
      </c>
    </row>
    <row r="26" spans="1:5">
      <c r="A26" t="s">
        <v>36</v>
      </c>
      <c r="D26" s="2">
        <f>SUBTOTAL(109,Table1345634345[จำนวนเงิน])</f>
        <v>59701</v>
      </c>
    </row>
    <row r="27" spans="1:5">
      <c r="C27" t="s">
        <v>37</v>
      </c>
      <c r="D27" t="str">
        <f>BAHTTEXT(Table1345634345[[#Totals],[จำนวนเงิน]])</f>
        <v>ห้าหมื่นเก้าพันเจ็ดร้อยเอ็ดบาทถ้วน</v>
      </c>
    </row>
    <row r="28" spans="1:5">
      <c r="C28" t="s">
        <v>38</v>
      </c>
      <c r="D28" t="str">
        <f>IF(Table1345634345[[#Totals],[จำนวนเงิน]] &gt;= 50000, "ซื้อ &gt;= 50000 ได้รับส่วนลด 10%", "ซื้อ &lt; 50000 รับส่วนลด 5%")</f>
        <v>ซื้อ &gt;= 50000 ได้รับส่วนลด 10%</v>
      </c>
    </row>
    <row r="29" spans="1:5">
      <c r="C29" t="s">
        <v>39</v>
      </c>
      <c r="D29" s="2">
        <f>IF(Table1345634345[[#Totals],[จำนวนเงิน]] &gt;= 50000, Table1345634345[[#Totals],[จำนวนเงิน]]*0.9, Table1345634345[[#Totals],[จำนวนเงิน]]*0.95)</f>
        <v>53730.9</v>
      </c>
      <c r="E29" s="2"/>
    </row>
  </sheetData>
  <mergeCells count="1">
    <mergeCell ref="G10:H10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CCDD-F8C3-4EC3-B001-677289EEC3DC}">
  <dimension ref="A1:D10"/>
  <sheetViews>
    <sheetView workbookViewId="0">
      <selection activeCell="B1" sqref="B1:C9"/>
    </sheetView>
  </sheetViews>
  <sheetFormatPr defaultRowHeight="14.4"/>
  <sheetData>
    <row r="1" spans="1:4">
      <c r="A1" s="4" t="s">
        <v>1</v>
      </c>
      <c r="B1" s="4" t="s">
        <v>41</v>
      </c>
      <c r="C1" s="4" t="s">
        <v>42</v>
      </c>
      <c r="D1" s="4" t="s">
        <v>43</v>
      </c>
    </row>
    <row r="2" spans="1:4">
      <c r="A2" s="4">
        <v>1</v>
      </c>
      <c r="B2" s="4" t="s">
        <v>44</v>
      </c>
      <c r="C2" s="4">
        <v>85</v>
      </c>
      <c r="D2" s="4" t="str" cm="1">
        <f t="array" ref="D2">_xlfn.IFS(C2&gt;=80,"A",C2&gt;=70,"B",C2&gt;=60,"C",C2&gt;=50,"D",C2&gt;=0,"F",C2&lt;0,"คุณกรอกผิด")</f>
        <v>A</v>
      </c>
    </row>
    <row r="3" spans="1:4">
      <c r="A3" s="4">
        <v>2</v>
      </c>
      <c r="B3" s="4" t="s">
        <v>45</v>
      </c>
      <c r="C3" s="4">
        <v>45</v>
      </c>
      <c r="D3" s="4" t="str" cm="1">
        <f t="array" ref="D3">_xlfn.IFS(C3&gt;=80,"A",C3&gt;=70,"B",C3&gt;=60,"C",C3&gt;=50,"D",C3&gt;=0,"F",C3&lt;0,"คุณกรอกผิด")</f>
        <v>F</v>
      </c>
    </row>
    <row r="4" spans="1:4">
      <c r="A4" s="4">
        <v>3</v>
      </c>
      <c r="B4" s="4" t="s">
        <v>46</v>
      </c>
      <c r="C4" s="4">
        <v>50</v>
      </c>
      <c r="D4" s="4" t="str" cm="1">
        <f t="array" ref="D4">_xlfn.IFS(C4&gt;=80,"A",C4&gt;=70,"B",C4&gt;=60,"C",C4&gt;=50,"D",C4&gt;=0,"F",C4&lt;0,"คุณกรอกผิด")</f>
        <v>D</v>
      </c>
    </row>
    <row r="5" spans="1:4">
      <c r="A5" s="4">
        <v>4</v>
      </c>
      <c r="B5" s="4" t="s">
        <v>47</v>
      </c>
      <c r="C5" s="4">
        <v>30</v>
      </c>
      <c r="D5" s="4" t="str" cm="1">
        <f t="array" ref="D5">_xlfn.IFS(C5&gt;=80,"A",C5&gt;=70,"B",C5&gt;=60,"C",C5&gt;=50,"D",C5&gt;=0,"F",C5&lt;0,"คุณกรอกผิด")</f>
        <v>F</v>
      </c>
    </row>
    <row r="6" spans="1:4">
      <c r="A6" s="4">
        <v>5</v>
      </c>
      <c r="B6" s="4" t="s">
        <v>48</v>
      </c>
      <c r="C6" s="4">
        <v>45</v>
      </c>
      <c r="D6" s="4" t="str" cm="1">
        <f t="array" ref="D6">_xlfn.IFS(C6&gt;=80,"A",C6&gt;=70,"B",C6&gt;=60,"C",C6&gt;=50,"D",C6&gt;=0,"F",C6&lt;0,"คุณกรอกผิด")</f>
        <v>F</v>
      </c>
    </row>
    <row r="7" spans="1:4">
      <c r="A7" s="4">
        <v>6</v>
      </c>
      <c r="B7" s="4" t="s">
        <v>49</v>
      </c>
      <c r="C7" s="4">
        <v>80</v>
      </c>
      <c r="D7" s="4" t="str" cm="1">
        <f t="array" ref="D7">_xlfn.IFS(C7&gt;=80,"A",C7&gt;=70,"B",C7&gt;=60,"C",C7&gt;=50,"D",C7&gt;=0,"F",C7&lt;0,"คุณกรอกผิด")</f>
        <v>A</v>
      </c>
    </row>
    <row r="8" spans="1:4">
      <c r="A8" s="4">
        <v>7</v>
      </c>
      <c r="B8" s="4" t="s">
        <v>50</v>
      </c>
      <c r="C8" s="4">
        <v>60</v>
      </c>
      <c r="D8" s="4" t="str" cm="1">
        <f t="array" ref="D8">_xlfn.IFS(C8&gt;=80,"A",C8&gt;=70,"B",C8&gt;=60,"C",C8&gt;=50,"D",C8&gt;=0,"F",C8&lt;0,"คุณกรอกผิด")</f>
        <v>C</v>
      </c>
    </row>
    <row r="9" spans="1:4">
      <c r="A9" s="4">
        <v>8</v>
      </c>
      <c r="B9" s="4" t="s">
        <v>51</v>
      </c>
      <c r="C9" s="4">
        <v>75</v>
      </c>
      <c r="D9" s="4" t="str" cm="1">
        <f t="array" ref="D9">_xlfn.IFS(C9&gt;=80,"A",C9&gt;=70,"B",C9&gt;=60,"C",C9&gt;=50,"D",C9&gt;=0,"F",C9&lt;0,"คุณกรอกผิด")</f>
        <v>B</v>
      </c>
    </row>
    <row r="10" spans="1:4">
      <c r="A10" s="4"/>
      <c r="B10" s="4"/>
      <c r="C10" s="4"/>
      <c r="D10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6412-6D76-469C-B4CD-7F9F268E3C7E}">
  <dimension ref="A1:L29"/>
  <sheetViews>
    <sheetView workbookViewId="0">
      <selection activeCell="J3" sqref="J3"/>
    </sheetView>
  </sheetViews>
  <sheetFormatPr defaultRowHeight="14.4"/>
  <cols>
    <col min="1" max="1" width="9.77734375" bestFit="1" customWidth="1"/>
    <col min="2" max="2" width="11" bestFit="1" customWidth="1"/>
    <col min="3" max="3" width="19.109375" bestFit="1" customWidth="1"/>
    <col min="4" max="4" width="29.6640625" bestFit="1" customWidth="1"/>
    <col min="5" max="5" width="11.33203125" bestFit="1" customWidth="1"/>
    <col min="7" max="7" width="19" bestFit="1" customWidth="1"/>
    <col min="8" max="8" width="12" bestFit="1" customWidth="1"/>
  </cols>
  <sheetData>
    <row r="1" spans="1:12">
      <c r="A1" t="s">
        <v>1</v>
      </c>
      <c r="B1" t="s">
        <v>2</v>
      </c>
      <c r="C1" s="1" t="s">
        <v>3</v>
      </c>
      <c r="D1" t="s">
        <v>4</v>
      </c>
      <c r="E1" t="s">
        <v>38</v>
      </c>
      <c r="J1" s="4" t="s">
        <v>1</v>
      </c>
      <c r="K1" s="4" t="s">
        <v>52</v>
      </c>
      <c r="L1" s="4" t="s">
        <v>53</v>
      </c>
    </row>
    <row r="2" spans="1:12">
      <c r="A2">
        <v>1</v>
      </c>
      <c r="B2" t="s">
        <v>40</v>
      </c>
      <c r="C2" s="1">
        <v>0</v>
      </c>
      <c r="D2" s="2">
        <v>150</v>
      </c>
      <c r="E2" s="2">
        <f>Table13456343456[[#This Row],[จำนวนเงิน]]-$H$4</f>
        <v>125</v>
      </c>
      <c r="J2" s="5">
        <v>15</v>
      </c>
      <c r="K2" s="6" t="str">
        <f>VLOOKUP(J2,Table13456343456[[#Headers],[#Data]],2,0)</f>
        <v>kittisal</v>
      </c>
      <c r="L2" s="6">
        <f>VLOOKUP(J2,Table13456343456[[#Headers],[#Data]],4,0)</f>
        <v>50</v>
      </c>
    </row>
    <row r="3" spans="1:12">
      <c r="A3">
        <v>2</v>
      </c>
      <c r="B3" t="s">
        <v>6</v>
      </c>
      <c r="C3" s="1">
        <v>4.1666666666666664E-2</v>
      </c>
      <c r="D3" s="2">
        <v>100</v>
      </c>
      <c r="E3" s="2">
        <f>Table13456343456[[#This Row],[จำนวนเงิน]]-$H$4</f>
        <v>75</v>
      </c>
    </row>
    <row r="4" spans="1:12">
      <c r="A4">
        <v>3</v>
      </c>
      <c r="B4" t="s">
        <v>7</v>
      </c>
      <c r="C4" s="1">
        <v>8.3333333333333301E-2</v>
      </c>
      <c r="D4" s="2">
        <v>2500</v>
      </c>
      <c r="E4" s="2">
        <f>Table13456343456[[#This Row],[จำนวนเงิน]]-$H$4</f>
        <v>2475</v>
      </c>
      <c r="G4" t="s">
        <v>38</v>
      </c>
      <c r="H4">
        <v>25</v>
      </c>
    </row>
    <row r="5" spans="1:12">
      <c r="A5">
        <v>4</v>
      </c>
      <c r="B5" t="s">
        <v>8</v>
      </c>
      <c r="C5" s="1">
        <v>0.125</v>
      </c>
      <c r="D5" s="2">
        <v>250</v>
      </c>
      <c r="E5" s="2">
        <f>Table13456343456[[#This Row],[จำนวนเงิน]]-$H$4</f>
        <v>225</v>
      </c>
      <c r="G5" t="s">
        <v>9</v>
      </c>
      <c r="H5">
        <f>COUNTA(Table13456343456[ลำดับที่])</f>
        <v>24</v>
      </c>
    </row>
    <row r="6" spans="1:12">
      <c r="A6">
        <v>5</v>
      </c>
      <c r="B6" t="s">
        <v>10</v>
      </c>
      <c r="C6" s="1">
        <v>0.16666666666666699</v>
      </c>
      <c r="D6" s="2">
        <v>10</v>
      </c>
      <c r="E6" s="2">
        <f>Table13456343456[[#This Row],[จำนวนเงิน]]-$H$4</f>
        <v>-15</v>
      </c>
      <c r="G6" t="s">
        <v>11</v>
      </c>
      <c r="H6">
        <f>AVERAGE([1]!Table1[จำนวนเงิน])</f>
        <v>2487.5416666666665</v>
      </c>
    </row>
    <row r="7" spans="1:12">
      <c r="A7">
        <v>6</v>
      </c>
      <c r="B7" t="s">
        <v>12</v>
      </c>
      <c r="C7" s="1">
        <v>0.20833333333333301</v>
      </c>
      <c r="D7" s="2">
        <v>50</v>
      </c>
      <c r="E7" s="2">
        <f>Table13456343456[[#This Row],[จำนวนเงิน]]-$H$4</f>
        <v>25</v>
      </c>
      <c r="G7" t="s">
        <v>13</v>
      </c>
      <c r="H7" s="2">
        <f>MAX(Table13456343456[จำนวนเงิน])</f>
        <v>50000</v>
      </c>
    </row>
    <row r="8" spans="1:12">
      <c r="A8">
        <v>7</v>
      </c>
      <c r="B8" t="s">
        <v>14</v>
      </c>
      <c r="C8" s="1">
        <v>0.25</v>
      </c>
      <c r="D8" s="2">
        <v>150</v>
      </c>
      <c r="E8" s="2">
        <f>Table13456343456[[#This Row],[จำนวนเงิน]]-$H$4</f>
        <v>125</v>
      </c>
      <c r="G8" t="s">
        <v>15</v>
      </c>
      <c r="H8" s="2">
        <f>MIN(Table13456343456[จำนวนเงิน])</f>
        <v>10</v>
      </c>
    </row>
    <row r="9" spans="1:12">
      <c r="A9">
        <v>8</v>
      </c>
      <c r="B9" t="s">
        <v>16</v>
      </c>
      <c r="C9" s="1">
        <v>0.29166666666666702</v>
      </c>
      <c r="D9" s="2">
        <v>1500</v>
      </c>
      <c r="E9" s="2">
        <f>Table13456343456[[#This Row],[จำนวนเงิน]]-$H$4</f>
        <v>1475</v>
      </c>
    </row>
    <row r="10" spans="1:12">
      <c r="A10">
        <v>9</v>
      </c>
      <c r="B10" t="s">
        <v>17</v>
      </c>
      <c r="C10" s="1">
        <v>0.33333333333333298</v>
      </c>
      <c r="D10" s="2">
        <v>250</v>
      </c>
      <c r="E10" s="2">
        <f>Table13456343456[[#This Row],[จำนวนเงิน]]-$H$4</f>
        <v>225</v>
      </c>
      <c r="G10" s="3" t="s">
        <v>18</v>
      </c>
      <c r="H10" s="3"/>
    </row>
    <row r="11" spans="1:12">
      <c r="A11">
        <v>10</v>
      </c>
      <c r="B11" t="s">
        <v>19</v>
      </c>
      <c r="C11" s="1">
        <v>0.375</v>
      </c>
      <c r="D11" s="2">
        <v>450</v>
      </c>
      <c r="E11" s="2">
        <f>Table13456343456[[#This Row],[จำนวนเงิน]]-$H$4</f>
        <v>425</v>
      </c>
      <c r="G11" t="s">
        <v>20</v>
      </c>
      <c r="H11">
        <v>20</v>
      </c>
    </row>
    <row r="12" spans="1:12">
      <c r="A12">
        <v>11</v>
      </c>
      <c r="B12" t="s">
        <v>21</v>
      </c>
      <c r="C12" s="1">
        <v>0.41666666666666702</v>
      </c>
      <c r="D12" s="2">
        <v>700</v>
      </c>
      <c r="E12" s="2">
        <f>Table13456343456[[#This Row],[จำนวนเงิน]]-$H$4</f>
        <v>675</v>
      </c>
      <c r="G12" t="s">
        <v>2</v>
      </c>
      <c r="H12" t="str" cm="1">
        <f t="array" ref="H12">INDEX(B2:B25,H11)</f>
        <v>t</v>
      </c>
    </row>
    <row r="13" spans="1:12">
      <c r="A13">
        <v>12</v>
      </c>
      <c r="B13" t="s">
        <v>22</v>
      </c>
      <c r="C13" s="1">
        <v>0.45833333333333298</v>
      </c>
      <c r="D13" s="2">
        <v>982</v>
      </c>
      <c r="E13" s="2">
        <f>Table13456343456[[#This Row],[จำนวนเงิน]]-$H$4</f>
        <v>957</v>
      </c>
      <c r="G13" t="s">
        <v>23</v>
      </c>
      <c r="H13" cm="1">
        <f t="array" ref="H13">INDEX(D2:D25,H11)</f>
        <v>150</v>
      </c>
    </row>
    <row r="14" spans="1:12">
      <c r="A14">
        <v>13</v>
      </c>
      <c r="B14" t="s">
        <v>24</v>
      </c>
      <c r="C14" s="1">
        <v>0.5</v>
      </c>
      <c r="D14" s="2">
        <v>500</v>
      </c>
      <c r="E14" s="2">
        <f>Table13456343456[[#This Row],[จำนวนเงิน]]-$H$4</f>
        <v>475</v>
      </c>
    </row>
    <row r="15" spans="1:12">
      <c r="A15">
        <v>14</v>
      </c>
      <c r="B15" t="s">
        <v>25</v>
      </c>
      <c r="C15" s="1">
        <v>0.54166666666666696</v>
      </c>
      <c r="D15" s="2">
        <v>100</v>
      </c>
      <c r="E15" s="2">
        <f>Table13456343456[[#This Row],[จำนวนเงิน]]-$H$4</f>
        <v>75</v>
      </c>
    </row>
    <row r="16" spans="1:12">
      <c r="A16">
        <v>15</v>
      </c>
      <c r="B16" t="s">
        <v>54</v>
      </c>
      <c r="C16" s="1">
        <v>0.58333333333333304</v>
      </c>
      <c r="D16" s="2">
        <v>50</v>
      </c>
      <c r="E16" s="2">
        <f>Table13456343456[[#This Row],[จำนวนเงิน]]-$H$4</f>
        <v>25</v>
      </c>
    </row>
    <row r="17" spans="1:5">
      <c r="A17">
        <v>16</v>
      </c>
      <c r="B17" t="s">
        <v>27</v>
      </c>
      <c r="C17" s="1">
        <v>0.625</v>
      </c>
      <c r="D17" s="2">
        <v>250</v>
      </c>
      <c r="E17" s="2">
        <f>Table13456343456[[#This Row],[จำนวนเงิน]]-$H$4</f>
        <v>225</v>
      </c>
    </row>
    <row r="18" spans="1:5">
      <c r="A18">
        <v>17</v>
      </c>
      <c r="B18" t="s">
        <v>28</v>
      </c>
      <c r="C18" s="1">
        <v>0.66666666666666696</v>
      </c>
      <c r="D18" s="2">
        <v>100</v>
      </c>
      <c r="E18" s="2">
        <f>Table13456343456[[#This Row],[จำนวนเงิน]]-$H$4</f>
        <v>75</v>
      </c>
    </row>
    <row r="19" spans="1:5">
      <c r="A19">
        <v>18</v>
      </c>
      <c r="B19" t="s">
        <v>29</v>
      </c>
      <c r="C19" s="1">
        <v>0.70833333333333304</v>
      </c>
      <c r="D19" s="2">
        <v>99</v>
      </c>
      <c r="E19" s="2">
        <f>Table13456343456[[#This Row],[จำนวนเงิน]]-$H$4</f>
        <v>74</v>
      </c>
    </row>
    <row r="20" spans="1:5">
      <c r="A20">
        <v>19</v>
      </c>
      <c r="B20" t="s">
        <v>30</v>
      </c>
      <c r="C20" s="1">
        <v>0.75</v>
      </c>
      <c r="D20" s="2">
        <v>120</v>
      </c>
      <c r="E20" s="2">
        <f>Table13456343456[[#This Row],[จำนวนเงิน]]-$H$4</f>
        <v>95</v>
      </c>
    </row>
    <row r="21" spans="1:5">
      <c r="A21">
        <v>20</v>
      </c>
      <c r="B21" t="s">
        <v>31</v>
      </c>
      <c r="C21" s="1">
        <v>0.79166666666666596</v>
      </c>
      <c r="D21" s="2">
        <v>150</v>
      </c>
      <c r="E21" s="2">
        <f>Table13456343456[[#This Row],[จำนวนเงิน]]-$H$4</f>
        <v>125</v>
      </c>
    </row>
    <row r="22" spans="1:5">
      <c r="A22">
        <v>21</v>
      </c>
      <c r="B22" t="s">
        <v>32</v>
      </c>
      <c r="C22" s="1">
        <v>0.83333333333333304</v>
      </c>
      <c r="D22" s="2">
        <v>340</v>
      </c>
      <c r="E22" s="2">
        <f>Table13456343456[[#This Row],[จำนวนเงิน]]-$H$4</f>
        <v>315</v>
      </c>
    </row>
    <row r="23" spans="1:5">
      <c r="A23">
        <v>22</v>
      </c>
      <c r="B23" t="s">
        <v>33</v>
      </c>
      <c r="C23" s="1">
        <v>0.875</v>
      </c>
      <c r="D23" s="2">
        <v>400</v>
      </c>
      <c r="E23" s="2">
        <f>Table13456343456[[#This Row],[จำนวนเงิน]]-$H$4</f>
        <v>375</v>
      </c>
    </row>
    <row r="24" spans="1:5">
      <c r="A24">
        <v>23</v>
      </c>
      <c r="B24" t="s">
        <v>34</v>
      </c>
      <c r="C24" s="1">
        <v>0.91666666666666596</v>
      </c>
      <c r="D24" s="2">
        <v>500</v>
      </c>
      <c r="E24" s="2">
        <f>Table13456343456[[#This Row],[จำนวนเงิน]]-$H$4</f>
        <v>475</v>
      </c>
    </row>
    <row r="25" spans="1:5">
      <c r="A25">
        <v>24</v>
      </c>
      <c r="B25" t="s">
        <v>35</v>
      </c>
      <c r="C25" s="1">
        <v>0.95833333333333304</v>
      </c>
      <c r="D25" s="2">
        <v>50000</v>
      </c>
      <c r="E25" s="2">
        <f>Table13456343456[[#This Row],[จำนวนเงิน]]-$H$4</f>
        <v>49975</v>
      </c>
    </row>
    <row r="26" spans="1:5">
      <c r="A26" t="s">
        <v>36</v>
      </c>
      <c r="D26" s="2">
        <f>SUBTOTAL(109,Table13456343456[จำนวนเงิน])</f>
        <v>59701</v>
      </c>
    </row>
    <row r="27" spans="1:5">
      <c r="C27" t="s">
        <v>37</v>
      </c>
      <c r="D27" t="str">
        <f>BAHTTEXT(Table13456343456[[#Totals],[จำนวนเงิน]])</f>
        <v>ห้าหมื่นเก้าพันเจ็ดร้อยเอ็ดบาทถ้วน</v>
      </c>
    </row>
    <row r="28" spans="1:5">
      <c r="C28" t="s">
        <v>38</v>
      </c>
      <c r="D28" t="str">
        <f>IF(Table13456343456[[#Totals],[จำนวนเงิน]] &gt;= 50000, "ซื้อ &gt;= 50000 ได้รับส่วนลด 10%", "ซื้อ &lt; 50000 รับส่วนลด 5%")</f>
        <v>ซื้อ &gt;= 50000 ได้รับส่วนลด 10%</v>
      </c>
    </row>
    <row r="29" spans="1:5">
      <c r="C29" t="s">
        <v>39</v>
      </c>
      <c r="D29" s="2">
        <f>IF(Table13456343456[[#Totals],[จำนวนเงิน]] &gt;= 50000, Table13456343456[[#Totals],[จำนวนเงิน]]*0.9, Table13456343456[[#Totals],[จำนวนเงิน]]*0.95)</f>
        <v>53730.9</v>
      </c>
      <c r="E29" s="2"/>
    </row>
  </sheetData>
  <mergeCells count="1">
    <mergeCell ref="G10:H10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BBE7-3BAB-4643-9C2C-5539C746881F}">
  <dimension ref="A1:J15"/>
  <sheetViews>
    <sheetView tabSelected="1" workbookViewId="0">
      <selection activeCell="J17" sqref="J17"/>
    </sheetView>
  </sheetViews>
  <sheetFormatPr defaultRowHeight="14.4"/>
  <cols>
    <col min="1" max="1" width="9.44140625" customWidth="1"/>
    <col min="2" max="2" width="12.44140625" customWidth="1"/>
    <col min="6" max="6" width="11" customWidth="1"/>
    <col min="7" max="7" width="15.33203125" bestFit="1" customWidth="1"/>
    <col min="8" max="8" width="11.6640625" customWidth="1"/>
    <col min="10" max="10" width="10.109375" customWidth="1"/>
  </cols>
  <sheetData>
    <row r="1" spans="1:10">
      <c r="A1" s="7" t="s">
        <v>1</v>
      </c>
      <c r="B1" s="8" t="s">
        <v>66</v>
      </c>
      <c r="C1" s="8" t="s">
        <v>67</v>
      </c>
      <c r="E1" t="s">
        <v>72</v>
      </c>
      <c r="F1" t="s">
        <v>69</v>
      </c>
      <c r="G1" t="s">
        <v>66</v>
      </c>
      <c r="H1" t="s">
        <v>70</v>
      </c>
      <c r="I1" t="s">
        <v>53</v>
      </c>
      <c r="J1" t="s">
        <v>71</v>
      </c>
    </row>
    <row r="2" spans="1:10">
      <c r="A2" s="9">
        <v>1</v>
      </c>
      <c r="B2" s="10" t="s">
        <v>61</v>
      </c>
      <c r="C2" s="10">
        <v>50</v>
      </c>
      <c r="E2">
        <v>1</v>
      </c>
      <c r="F2" s="13">
        <v>1</v>
      </c>
      <c r="G2" t="str">
        <f>VLOOKUP(Table8[[#This Row],[รหัสสินค้า]],Table6[#All],2,0)</f>
        <v>ข้าวต้มปลา</v>
      </c>
      <c r="H2">
        <f>VLOOKUP(Table8[[#This Row],[รหัสสินค้า]],Table6[#All],3,0)</f>
        <v>50</v>
      </c>
      <c r="I2" s="13">
        <v>2</v>
      </c>
      <c r="J2">
        <f>Table8[[#This Row],[ราคาสินค้า]]*Table8[[#This Row],[จำนวน]]</f>
        <v>100</v>
      </c>
    </row>
    <row r="3" spans="1:10">
      <c r="A3" s="9">
        <v>2</v>
      </c>
      <c r="B3" s="10" t="s">
        <v>55</v>
      </c>
      <c r="C3" s="10">
        <v>45</v>
      </c>
      <c r="E3">
        <v>2</v>
      </c>
      <c r="F3" s="13">
        <v>3</v>
      </c>
      <c r="G3" t="str">
        <f>VLOOKUP(Table8[[#This Row],[รหัสสินค้า]],Table6[#All],2,0)</f>
        <v>น้ำอัดลม</v>
      </c>
      <c r="H3">
        <f>VLOOKUP(Table8[[#This Row],[รหัสสินค้า]],Table6[#All],3,0)</f>
        <v>15</v>
      </c>
      <c r="I3" s="13">
        <v>2</v>
      </c>
      <c r="J3">
        <f>Table8[[#This Row],[ราคาสินค้า]]*Table8[[#This Row],[จำนวน]]</f>
        <v>30</v>
      </c>
    </row>
    <row r="4" spans="1:10">
      <c r="A4" s="9">
        <v>3</v>
      </c>
      <c r="B4" s="10" t="s">
        <v>56</v>
      </c>
      <c r="C4" s="10">
        <v>15</v>
      </c>
      <c r="E4">
        <v>3</v>
      </c>
      <c r="F4" s="13"/>
      <c r="G4" t="str">
        <f>VLOOKUP(Table8[[#This Row],[รหัสสินค้า]],Table6[#All],2,0)</f>
        <v>ไม่มีรายการสินค้า</v>
      </c>
      <c r="H4">
        <f>VLOOKUP(Table8[[#This Row],[รหัสสินค้า]],Table6[#All],3,0)</f>
        <v>0</v>
      </c>
      <c r="I4" s="13"/>
      <c r="J4">
        <f>Table8[[#This Row],[ราคาสินค้า]]*Table8[[#This Row],[จำนวน]]</f>
        <v>0</v>
      </c>
    </row>
    <row r="5" spans="1:10">
      <c r="A5" s="9">
        <v>4</v>
      </c>
      <c r="B5" s="10" t="s">
        <v>57</v>
      </c>
      <c r="C5" s="10">
        <v>10</v>
      </c>
      <c r="E5">
        <v>4</v>
      </c>
      <c r="F5" s="13"/>
      <c r="G5" t="str">
        <f>VLOOKUP(Table8[[#This Row],[รหัสสินค้า]],Table6[#All],2,0)</f>
        <v>ไม่มีรายการสินค้า</v>
      </c>
      <c r="H5">
        <f>VLOOKUP(Table8[[#This Row],[รหัสสินค้า]],Table6[#All],3,0)</f>
        <v>0</v>
      </c>
      <c r="I5" s="13"/>
      <c r="J5">
        <f>Table8[[#This Row],[ราคาสินค้า]]*Table8[[#This Row],[จำนวน]]</f>
        <v>0</v>
      </c>
    </row>
    <row r="6" spans="1:10">
      <c r="A6" s="9">
        <v>5</v>
      </c>
      <c r="B6" s="10" t="s">
        <v>58</v>
      </c>
      <c r="C6" s="10">
        <v>45</v>
      </c>
      <c r="E6">
        <v>5</v>
      </c>
      <c r="F6" s="13"/>
      <c r="G6" t="str">
        <f>VLOOKUP(Table8[[#This Row],[รหัสสินค้า]],Table6[#All],2,0)</f>
        <v>ไม่มีรายการสินค้า</v>
      </c>
      <c r="H6">
        <f>VLOOKUP(Table8[[#This Row],[รหัสสินค้า]],Table6[#All],3,0)</f>
        <v>0</v>
      </c>
      <c r="I6" s="13"/>
      <c r="J6">
        <f>Table8[[#This Row],[ราคาสินค้า]]*Table8[[#This Row],[จำนวน]]</f>
        <v>0</v>
      </c>
    </row>
    <row r="7" spans="1:10">
      <c r="A7" s="9">
        <v>6</v>
      </c>
      <c r="B7" s="10" t="s">
        <v>59</v>
      </c>
      <c r="C7" s="10">
        <v>30</v>
      </c>
      <c r="E7">
        <v>6</v>
      </c>
      <c r="F7" s="13"/>
      <c r="G7" t="str">
        <f>VLOOKUP(Table8[[#This Row],[รหัสสินค้า]],Table6[#All],2,0)</f>
        <v>ไม่มีรายการสินค้า</v>
      </c>
      <c r="H7">
        <f>VLOOKUP(Table8[[#This Row],[รหัสสินค้า]],Table6[#All],3,0)</f>
        <v>0</v>
      </c>
      <c r="I7" s="13"/>
      <c r="J7">
        <f>Table8[[#This Row],[ราคาสินค้า]]*Table8[[#This Row],[จำนวน]]</f>
        <v>0</v>
      </c>
    </row>
    <row r="8" spans="1:10">
      <c r="A8" s="9">
        <v>7</v>
      </c>
      <c r="B8" s="10" t="s">
        <v>60</v>
      </c>
      <c r="C8" s="10">
        <v>50</v>
      </c>
      <c r="E8">
        <v>7</v>
      </c>
      <c r="F8" s="13"/>
      <c r="G8" t="str">
        <f>VLOOKUP(Table8[[#This Row],[รหัสสินค้า]],Table6[#All],2,0)</f>
        <v>ไม่มีรายการสินค้า</v>
      </c>
      <c r="H8">
        <f>VLOOKUP(Table8[[#This Row],[รหัสสินค้า]],Table6[#All],3,0)</f>
        <v>0</v>
      </c>
      <c r="I8" s="13"/>
      <c r="J8">
        <f>Table8[[#This Row],[ราคาสินค้า]]*Table8[[#This Row],[จำนวน]]</f>
        <v>0</v>
      </c>
    </row>
    <row r="9" spans="1:10">
      <c r="A9" s="9">
        <v>8</v>
      </c>
      <c r="B9" s="10" t="s">
        <v>61</v>
      </c>
      <c r="C9" s="10">
        <v>50</v>
      </c>
      <c r="E9">
        <v>8</v>
      </c>
      <c r="F9" s="13"/>
      <c r="G9" t="str">
        <f>VLOOKUP(Table8[[#This Row],[รหัสสินค้า]],Table6[#All],2,0)</f>
        <v>ไม่มีรายการสินค้า</v>
      </c>
      <c r="H9">
        <f>VLOOKUP(Table8[[#This Row],[รหัสสินค้า]],Table6[#All],3,0)</f>
        <v>0</v>
      </c>
      <c r="I9" s="13"/>
      <c r="J9">
        <f>Table8[[#This Row],[ราคาสินค้า]]*Table8[[#This Row],[จำนวน]]</f>
        <v>0</v>
      </c>
    </row>
    <row r="10" spans="1:10">
      <c r="A10" s="9">
        <v>9</v>
      </c>
      <c r="B10" s="10" t="s">
        <v>62</v>
      </c>
      <c r="C10" s="10">
        <v>5</v>
      </c>
      <c r="E10">
        <v>9</v>
      </c>
      <c r="F10" s="13"/>
      <c r="G10" t="str">
        <f>VLOOKUP(Table8[[#This Row],[รหัสสินค้า]],Table6[#All],2,0)</f>
        <v>ไม่มีรายการสินค้า</v>
      </c>
      <c r="H10">
        <f>VLOOKUP(Table8[[#This Row],[รหัสสินค้า]],Table6[#All],3,0)</f>
        <v>0</v>
      </c>
      <c r="I10" s="13"/>
      <c r="J10">
        <f>Table8[[#This Row],[ราคาสินค้า]]*Table8[[#This Row],[จำนวน]]</f>
        <v>0</v>
      </c>
    </row>
    <row r="11" spans="1:10">
      <c r="A11" s="9">
        <v>10</v>
      </c>
      <c r="B11" s="10" t="s">
        <v>63</v>
      </c>
      <c r="C11" s="10">
        <v>20</v>
      </c>
      <c r="E11">
        <v>10</v>
      </c>
      <c r="F11" s="13"/>
      <c r="G11" t="str">
        <f>VLOOKUP(Table8[[#This Row],[รหัสสินค้า]],Table6[#All],2,0)</f>
        <v>ไม่มีรายการสินค้า</v>
      </c>
      <c r="H11">
        <f>VLOOKUP(Table8[[#This Row],[รหัสสินค้า]],Table6[#All],3,0)</f>
        <v>0</v>
      </c>
      <c r="I11" s="13"/>
      <c r="J11">
        <f>Table8[[#This Row],[ราคาสินค้า]]*Table8[[#This Row],[จำนวน]]</f>
        <v>0</v>
      </c>
    </row>
    <row r="12" spans="1:10">
      <c r="A12" s="9">
        <v>11</v>
      </c>
      <c r="B12" s="10" t="s">
        <v>64</v>
      </c>
      <c r="C12" s="10">
        <v>45</v>
      </c>
      <c r="E12">
        <v>11</v>
      </c>
      <c r="F12" s="13"/>
      <c r="G12" t="str">
        <f>VLOOKUP(Table8[[#This Row],[รหัสสินค้า]],Table6[#All],2,0)</f>
        <v>ไม่มีรายการสินค้า</v>
      </c>
      <c r="H12">
        <f>VLOOKUP(Table8[[#This Row],[รหัสสินค้า]],Table6[#All],3,0)</f>
        <v>0</v>
      </c>
      <c r="I12" s="13"/>
      <c r="J12">
        <f>Table8[[#This Row],[ราคาสินค้า]]*Table8[[#This Row],[จำนวน]]</f>
        <v>0</v>
      </c>
    </row>
    <row r="13" spans="1:10">
      <c r="A13" s="11">
        <v>12</v>
      </c>
      <c r="B13" s="12" t="s">
        <v>65</v>
      </c>
      <c r="C13" s="12">
        <v>45</v>
      </c>
      <c r="E13">
        <v>12</v>
      </c>
      <c r="F13" s="13"/>
      <c r="G13" t="str">
        <f>VLOOKUP(Table8[[#This Row],[รหัสสินค้า]],Table6[#All],2,0)</f>
        <v>ไม่มีรายการสินค้า</v>
      </c>
      <c r="H13">
        <f>VLOOKUP(Table8[[#This Row],[รหัสสินค้า]],Table6[#All],3,0)</f>
        <v>0</v>
      </c>
      <c r="I13" s="13"/>
      <c r="J13">
        <f>Table8[[#This Row],[ราคาสินค้า]]*Table8[[#This Row],[จำนวน]]</f>
        <v>0</v>
      </c>
    </row>
    <row r="14" spans="1:10">
      <c r="A14" s="9">
        <v>13</v>
      </c>
      <c r="B14" s="10" t="s">
        <v>68</v>
      </c>
      <c r="C14" s="10">
        <v>50</v>
      </c>
      <c r="E14">
        <v>13</v>
      </c>
      <c r="F14" s="13"/>
      <c r="G14" t="str">
        <f>VLOOKUP(Table8[[#This Row],[รหัสสินค้า]],Table6[#All],2,0)</f>
        <v>ไม่มีรายการสินค้า</v>
      </c>
      <c r="H14">
        <f>VLOOKUP(Table8[[#This Row],[รหัสสินค้า]],Table6[#All],3,0)</f>
        <v>0</v>
      </c>
      <c r="I14" s="13"/>
      <c r="J14">
        <f>Table8[[#This Row],[ราคาสินค้า]]*Table8[[#This Row],[จำนวน]]</f>
        <v>0</v>
      </c>
    </row>
    <row r="15" spans="1:10">
      <c r="A15" s="11">
        <v>0</v>
      </c>
      <c r="B15" s="12" t="s">
        <v>73</v>
      </c>
      <c r="C15" s="12"/>
      <c r="H15" t="s">
        <v>37</v>
      </c>
      <c r="I15">
        <f>SUM(Table8[จำนวน])</f>
        <v>4</v>
      </c>
      <c r="J15">
        <f>SUM(Table8[ราคารวม])</f>
        <v>130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21.1_ref sheet</vt:lpstr>
      <vt:lpstr>21.2_ref sheet</vt:lpstr>
      <vt:lpstr>22_Protect</vt:lpstr>
      <vt:lpstr>23_$</vt:lpstr>
      <vt:lpstr>24_find blank &amp; delete</vt:lpstr>
      <vt:lpstr>25_find&amp;replace</vt:lpstr>
      <vt:lpstr>26_visualization</vt:lpstr>
      <vt:lpstr>27-28_vlookup</vt:lpstr>
      <vt:lpstr>29_simple acc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Sophon Wongyai</dc:creator>
  <cp:lastModifiedBy>Sophon Wongyai</cp:lastModifiedBy>
  <dcterms:created xsi:type="dcterms:W3CDTF">2022-10-21T05:22:50Z</dcterms:created>
  <dcterms:modified xsi:type="dcterms:W3CDTF">2022-10-21T06:07:16Z</dcterms:modified>
</cp:coreProperties>
</file>